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450" windowWidth="15480" windowHeight="11640" tabRatio="594" activeTab="0"/>
  </bookViews>
  <sheets>
    <sheet name="Table of Contents" sheetId="1" r:id="rId1"/>
    <sheet name="Undergrad Income" sheetId="2" r:id="rId2"/>
    <sheet name="UG Distribution" sheetId="3" r:id="rId3"/>
    <sheet name="UG Summer" sheetId="4" r:id="rId4"/>
    <sheet name="Grad Income" sheetId="5" r:id="rId5"/>
    <sheet name="Grad Distribution" sheetId="6" r:id="rId6"/>
    <sheet name="Grad Summer" sheetId="7" r:id="rId7"/>
    <sheet name="Prof Income" sheetId="8" r:id="rId8"/>
    <sheet name="Prof. Tuition" sheetId="9" r:id="rId9"/>
    <sheet name="Extramural" sheetId="10" r:id="rId10"/>
    <sheet name="Total Tuition" sheetId="11" r:id="rId11"/>
    <sheet name="Compare with Prior" sheetId="12" r:id="rId12"/>
  </sheets>
  <definedNames>
    <definedName name="_xlnm.Print_Area" localSheetId="5">'Grad Distribution'!$A$1:$M$45</definedName>
    <definedName name="_xlnm.Print_Area" localSheetId="10">'Total Tuition'!$A:$IV</definedName>
  </definedNames>
  <calcPr fullCalcOnLoad="1"/>
</workbook>
</file>

<file path=xl/comments10.xml><?xml version="1.0" encoding="utf-8"?>
<comments xmlns="http://schemas.openxmlformats.org/spreadsheetml/2006/main">
  <authors>
    <author>phoey</author>
    <author>Pat Hoey</author>
  </authors>
  <commentList>
    <comment ref="F25" authorId="0">
      <text>
        <r>
          <rPr>
            <b/>
            <sz val="8"/>
            <rFont val="Tahoma"/>
            <family val="0"/>
          </rPr>
          <t>phoey:</t>
        </r>
        <r>
          <rPr>
            <sz val="8"/>
            <rFont val="Tahoma"/>
            <family val="0"/>
          </rPr>
          <t xml:space="preserve">
GSLIS Historic Course income for FY03 ($21,773)</t>
        </r>
      </text>
    </comment>
    <comment ref="C25" authorId="0">
      <text>
        <r>
          <rPr>
            <b/>
            <sz val="8"/>
            <rFont val="Tahoma"/>
            <family val="0"/>
          </rPr>
          <t>phoey:</t>
        </r>
        <r>
          <rPr>
            <sz val="8"/>
            <rFont val="Tahoma"/>
            <family val="0"/>
          </rPr>
          <t xml:space="preserve">
FY04 Actual LEEP tuition ($1,388,907) 
+
GSLIS Historic Course income for FY04 ($13,848)</t>
        </r>
      </text>
    </comment>
    <comment ref="K24" authorId="0">
      <text>
        <r>
          <rPr>
            <b/>
            <sz val="8"/>
            <rFont val="Tahoma"/>
            <family val="0"/>
          </rPr>
          <t>phoey:</t>
        </r>
        <r>
          <rPr>
            <sz val="8"/>
            <rFont val="Tahoma"/>
            <family val="0"/>
          </rPr>
          <t xml:space="preserve">
Equal to sum of retained fees:  $73K + $56K=$129K
and historical-model course stipends: $32.0K</t>
        </r>
      </text>
    </comment>
    <comment ref="M24" authorId="0">
      <text>
        <r>
          <rPr>
            <b/>
            <sz val="8"/>
            <rFont val="Tahoma"/>
            <family val="0"/>
          </rPr>
          <t>phoey:</t>
        </r>
        <r>
          <rPr>
            <sz val="8"/>
            <rFont val="Tahoma"/>
            <family val="0"/>
          </rPr>
          <t xml:space="preserve">
FY04 GIS Actual $694.7 x 1.08 = $680.8
8% used to reflect FY05 tuition increase.</t>
        </r>
      </text>
    </comment>
    <comment ref="J25" authorId="1">
      <text>
        <r>
          <rPr>
            <b/>
            <sz val="8"/>
            <rFont val="Tahoma"/>
            <family val="0"/>
          </rPr>
          <t>Pat Hoey:</t>
        </r>
        <r>
          <rPr>
            <sz val="8"/>
            <rFont val="Tahoma"/>
            <family val="0"/>
          </rPr>
          <t xml:space="preserve">
$1,647,781 is FY06 LEEP allocation, represents 7% increase over FY05 earnings.  S. Harmon concurred with allocation amount.</t>
        </r>
      </text>
    </comment>
  </commentList>
</comments>
</file>

<file path=xl/comments11.xml><?xml version="1.0" encoding="utf-8"?>
<comments xmlns="http://schemas.openxmlformats.org/spreadsheetml/2006/main">
  <authors>
    <author>Office of Business and Financial Services</author>
  </authors>
  <commentList>
    <comment ref="X17" authorId="0">
      <text>
        <r>
          <rPr>
            <b/>
            <sz val="8"/>
            <rFont val="Tahoma"/>
            <family val="0"/>
          </rPr>
          <t>Office of Business and Financial Services:</t>
        </r>
        <r>
          <rPr>
            <sz val="8"/>
            <rFont val="Tahoma"/>
            <family val="0"/>
          </rPr>
          <t xml:space="preserve">
LAS plus economics
and FY05 permanent adj for MSPE $340.4
</t>
        </r>
      </text>
    </comment>
    <comment ref="X11" authorId="0">
      <text>
        <r>
          <rPr>
            <b/>
            <sz val="8"/>
            <rFont val="Tahoma"/>
            <family val="0"/>
          </rPr>
          <t>Office of Business and Financial Services:</t>
        </r>
        <r>
          <rPr>
            <sz val="8"/>
            <rFont val="Tahoma"/>
            <family val="0"/>
          </rPr>
          <t xml:space="preserve">
Adjusted for FY05 permanent budget adj
</t>
        </r>
      </text>
    </comment>
    <comment ref="X19" authorId="0">
      <text>
        <r>
          <rPr>
            <b/>
            <sz val="8"/>
            <rFont val="Tahoma"/>
            <family val="0"/>
          </rPr>
          <t>Office of Business and Financial Services:</t>
        </r>
        <r>
          <rPr>
            <sz val="8"/>
            <rFont val="Tahoma"/>
            <family val="0"/>
          </rPr>
          <t xml:space="preserve">
Adjusted for FY05 permanent budget adj
</t>
        </r>
      </text>
    </comment>
    <comment ref="X16" authorId="0">
      <text>
        <r>
          <rPr>
            <b/>
            <sz val="8"/>
            <rFont val="Tahoma"/>
            <family val="0"/>
          </rPr>
          <t>Office of Business and Financial Services:</t>
        </r>
        <r>
          <rPr>
            <sz val="8"/>
            <rFont val="Tahoma"/>
            <family val="0"/>
          </rPr>
          <t xml:space="preserve">
Adjusted for FY05 permanent budget adj
</t>
        </r>
      </text>
    </comment>
    <comment ref="X25" authorId="0">
      <text>
        <r>
          <rPr>
            <b/>
            <sz val="8"/>
            <rFont val="Tahoma"/>
            <family val="0"/>
          </rPr>
          <t>Office of Business and Financial Services:</t>
        </r>
        <r>
          <rPr>
            <sz val="8"/>
            <rFont val="Tahoma"/>
            <family val="0"/>
          </rPr>
          <t xml:space="preserve">
Adjusted for FY05 permanent budget adj
</t>
        </r>
      </text>
    </comment>
    <comment ref="S10" authorId="0">
      <text>
        <r>
          <rPr>
            <b/>
            <sz val="8"/>
            <rFont val="Tahoma"/>
            <family val="0"/>
          </rPr>
          <t>Office of Business and Financial Services:</t>
        </r>
        <r>
          <rPr>
            <sz val="8"/>
            <rFont val="Tahoma"/>
            <family val="0"/>
          </rPr>
          <t xml:space="preserve">
Added Teacher Ed. Instruction</t>
        </r>
      </text>
    </comment>
    <comment ref="S12" authorId="0">
      <text>
        <r>
          <rPr>
            <b/>
            <sz val="8"/>
            <rFont val="Tahoma"/>
            <family val="0"/>
          </rPr>
          <t>Office of Business and Financial Services:</t>
        </r>
        <r>
          <rPr>
            <sz val="8"/>
            <rFont val="Tahoma"/>
            <family val="0"/>
          </rPr>
          <t xml:space="preserve">
Added Teacher Ed. Instruction</t>
        </r>
      </text>
    </comment>
    <comment ref="S18" authorId="0">
      <text>
        <r>
          <rPr>
            <b/>
            <sz val="8"/>
            <rFont val="Tahoma"/>
            <family val="0"/>
          </rPr>
          <t>Office of Business and Financial Services:</t>
        </r>
        <r>
          <rPr>
            <sz val="8"/>
            <rFont val="Tahoma"/>
            <family val="0"/>
          </rPr>
          <t xml:space="preserve">
Added Teacher Ed. Instruction</t>
        </r>
      </text>
    </comment>
    <comment ref="S17" authorId="0">
      <text>
        <r>
          <rPr>
            <b/>
            <sz val="8"/>
            <rFont val="Tahoma"/>
            <family val="0"/>
          </rPr>
          <t>Office of Business and Financial Services:</t>
        </r>
        <r>
          <rPr>
            <sz val="8"/>
            <rFont val="Tahoma"/>
            <family val="0"/>
          </rPr>
          <t xml:space="preserve">
Added Teacher Ed. Instruction</t>
        </r>
      </text>
    </comment>
    <comment ref="S25" authorId="0">
      <text>
        <r>
          <rPr>
            <b/>
            <sz val="8"/>
            <rFont val="Tahoma"/>
            <family val="0"/>
          </rPr>
          <t>Office of Business and Financial Services:</t>
        </r>
        <r>
          <rPr>
            <sz val="8"/>
            <rFont val="Tahoma"/>
            <family val="0"/>
          </rPr>
          <t xml:space="preserve">
Added Teacher Ed. Instruction</t>
        </r>
      </text>
    </comment>
  </commentList>
</comments>
</file>

<file path=xl/comments2.xml><?xml version="1.0" encoding="utf-8"?>
<comments xmlns="http://schemas.openxmlformats.org/spreadsheetml/2006/main">
  <authors>
    <author>Pat Hoey</author>
  </authors>
  <commentList>
    <comment ref="C10" authorId="0">
      <text>
        <r>
          <rPr>
            <b/>
            <sz val="8"/>
            <rFont val="Tahoma"/>
            <family val="0"/>
          </rPr>
          <t>Pat Hoey:</t>
        </r>
        <r>
          <rPr>
            <sz val="8"/>
            <rFont val="Tahoma"/>
            <family val="0"/>
          </rPr>
          <t xml:space="preserve">
FY05 UG income was underrealized.</t>
        </r>
      </text>
    </comment>
    <comment ref="C28" authorId="0">
      <text>
        <r>
          <rPr>
            <b/>
            <sz val="8"/>
            <rFont val="Tahoma"/>
            <family val="0"/>
          </rPr>
          <t>Pat Hoey:</t>
        </r>
        <r>
          <rPr>
            <sz val="8"/>
            <rFont val="Tahoma"/>
            <family val="0"/>
          </rPr>
          <t xml:space="preserve">
Summer I '04 and Summer II '04 actual.</t>
        </r>
      </text>
    </comment>
  </commentList>
</comments>
</file>

<file path=xl/comments3.xml><?xml version="1.0" encoding="utf-8"?>
<comments xmlns="http://schemas.openxmlformats.org/spreadsheetml/2006/main">
  <authors>
    <author>Office of Business and Financial Services</author>
    <author>Pat Hoey</author>
  </authors>
  <commentList>
    <comment ref="U7" authorId="0">
      <text>
        <r>
          <rPr>
            <b/>
            <sz val="8"/>
            <rFont val="Tahoma"/>
            <family val="0"/>
          </rPr>
          <t>Office of Business and Financial Services:</t>
        </r>
        <r>
          <rPr>
            <sz val="8"/>
            <rFont val="Tahoma"/>
            <family val="0"/>
          </rPr>
          <t xml:space="preserve">
two-year average Ius taught by college - dmi website
</t>
        </r>
      </text>
    </comment>
    <comment ref="E11" authorId="0">
      <text>
        <r>
          <rPr>
            <b/>
            <sz val="8"/>
            <rFont val="Tahoma"/>
            <family val="0"/>
          </rPr>
          <t>Office of Business and Financial Services:</t>
        </r>
        <r>
          <rPr>
            <sz val="8"/>
            <rFont val="Tahoma"/>
            <family val="0"/>
          </rPr>
          <t xml:space="preserve"> Removed $274,750 for Accy Post Bac Certificate which is directly allocated. Average of FY04 $225.6 and FY05 $323.9)
</t>
        </r>
      </text>
    </comment>
    <comment ref="L9" authorId="1">
      <text>
        <r>
          <rPr>
            <b/>
            <sz val="8"/>
            <rFont val="Tahoma"/>
            <family val="0"/>
          </rPr>
          <t>Pat Hoey:</t>
        </r>
        <r>
          <rPr>
            <sz val="8"/>
            <rFont val="Tahoma"/>
            <family val="0"/>
          </rPr>
          <t xml:space="preserve">
total ISAC increment is $935.5; differential portion of new FY06 UG revenue is 23.3% ($5,722.6/$24,604);  Prior year ISAC allocation was $757</t>
        </r>
      </text>
    </comment>
  </commentList>
</comments>
</file>

<file path=xl/comments4.xml><?xml version="1.0" encoding="utf-8"?>
<comments xmlns="http://schemas.openxmlformats.org/spreadsheetml/2006/main">
  <authors>
    <author>Office of Business and Financial Services</author>
  </authors>
  <commentList>
    <comment ref="C8" authorId="0">
      <text>
        <r>
          <rPr>
            <b/>
            <sz val="8"/>
            <rFont val="Tahoma"/>
            <family val="0"/>
          </rPr>
          <t>Office of Business and Financial Services:</t>
        </r>
        <r>
          <rPr>
            <sz val="8"/>
            <rFont val="Tahoma"/>
            <family val="0"/>
          </rPr>
          <t xml:space="preserve">
two-year average IUs taught by college - DMI
</t>
        </r>
      </text>
    </comment>
  </commentList>
</comments>
</file>

<file path=xl/comments5.xml><?xml version="1.0" encoding="utf-8"?>
<comments xmlns="http://schemas.openxmlformats.org/spreadsheetml/2006/main">
  <authors>
    <author>phoey</author>
  </authors>
  <commentList>
    <comment ref="B23" authorId="0">
      <text>
        <r>
          <rPr>
            <b/>
            <sz val="8"/>
            <rFont val="Tahoma"/>
            <family val="0"/>
          </rPr>
          <t>phoey:</t>
        </r>
        <r>
          <rPr>
            <sz val="8"/>
            <rFont val="Tahoma"/>
            <family val="0"/>
          </rPr>
          <t xml:space="preserve">
Sum I and II 04 </t>
        </r>
      </text>
    </comment>
  </commentList>
</comments>
</file>

<file path=xl/comments6.xml><?xml version="1.0" encoding="utf-8"?>
<comments xmlns="http://schemas.openxmlformats.org/spreadsheetml/2006/main">
  <authors>
    <author>Mike Andrechak</author>
    <author>Office of Business and Financial Services</author>
    <author>Pat Hoey</author>
  </authors>
  <commentList>
    <comment ref="M11" authorId="0">
      <text>
        <r>
          <rPr>
            <sz val="8"/>
            <rFont val="Tahoma"/>
            <family val="0"/>
          </rPr>
          <t>Pat Hoey:
FY05 Tuition Distributions for self-supporting College of Business: Pat prepared - FY05 Business Self-Supporting Tuition Distribution Revised</t>
        </r>
      </text>
    </comment>
    <comment ref="B106" authorId="0">
      <text>
        <r>
          <rPr>
            <b/>
            <sz val="8"/>
            <rFont val="Tahoma"/>
            <family val="0"/>
          </rPr>
          <t xml:space="preserve">
 These amounts are removed from the CBA line above.
</t>
        </r>
        <r>
          <rPr>
            <sz val="8"/>
            <rFont val="Tahoma"/>
            <family val="0"/>
          </rPr>
          <t xml:space="preserve">
</t>
        </r>
      </text>
    </comment>
    <comment ref="C112" authorId="1">
      <text>
        <r>
          <rPr>
            <b/>
            <sz val="8"/>
            <rFont val="Tahoma"/>
            <family val="0"/>
          </rPr>
          <t>Office of Business and Financial Services:</t>
        </r>
        <r>
          <rPr>
            <sz val="8"/>
            <rFont val="Tahoma"/>
            <family val="0"/>
          </rPr>
          <t xml:space="preserve">
Tuition and Enrollment Report: Fall03, 3rd adjustsment. Sum of resident and nonresident tuition assessments less differential
</t>
        </r>
      </text>
    </comment>
    <comment ref="C106" authorId="1">
      <text>
        <r>
          <rPr>
            <b/>
            <sz val="8"/>
            <rFont val="Tahoma"/>
            <family val="0"/>
          </rPr>
          <t>Office of Business and Financial Services:</t>
        </r>
        <r>
          <rPr>
            <sz val="8"/>
            <rFont val="Tahoma"/>
            <family val="0"/>
          </rPr>
          <t xml:space="preserve">
see mba program worksheet
</t>
        </r>
      </text>
    </comment>
    <comment ref="F112" authorId="1">
      <text>
        <r>
          <rPr>
            <b/>
            <sz val="8"/>
            <rFont val="Tahoma"/>
            <family val="0"/>
          </rPr>
          <t>Office of Business and Financial Services:</t>
        </r>
        <r>
          <rPr>
            <sz val="8"/>
            <rFont val="Tahoma"/>
            <family val="0"/>
          </rPr>
          <t xml:space="preserve">
Tuition and Enrollment Report: Fall03, 3rd adjustsment. Sum of resident and nonresident tuition waiver
</t>
        </r>
      </text>
    </comment>
    <comment ref="H11" authorId="1">
      <text>
        <r>
          <rPr>
            <b/>
            <sz val="8"/>
            <rFont val="Tahoma"/>
            <family val="0"/>
          </rPr>
          <t>Office of Business and Financial Services:</t>
        </r>
        <r>
          <rPr>
            <sz val="8"/>
            <rFont val="Tahoma"/>
            <family val="0"/>
          </rPr>
          <t xml:space="preserve">
Per Sandy Frank: FY05 estimated net tuition - this is removed from CBA
</t>
        </r>
      </text>
    </comment>
    <comment ref="I16" authorId="2">
      <text>
        <r>
          <rPr>
            <b/>
            <sz val="8"/>
            <rFont val="Tahoma"/>
            <family val="0"/>
          </rPr>
          <t xml:space="preserve">Pat Hoey:
</t>
        </r>
        <r>
          <rPr>
            <sz val="8"/>
            <rFont val="Tahoma"/>
            <family val="2"/>
          </rPr>
          <t>Law grad tuition is LLM program and this is done as part of the professional income distribution, so they do not receive grad distribution.</t>
        </r>
      </text>
    </comment>
    <comment ref="D23" authorId="1">
      <text>
        <r>
          <rPr>
            <b/>
            <sz val="8"/>
            <rFont val="Tahoma"/>
            <family val="0"/>
          </rPr>
          <t>Office of Business and Financial Services:</t>
        </r>
        <r>
          <rPr>
            <sz val="8"/>
            <rFont val="Tahoma"/>
            <family val="0"/>
          </rPr>
          <t xml:space="preserve">
Calculation of New $358 differential for FY06
</t>
        </r>
      </text>
    </comment>
    <comment ref="D22" authorId="1">
      <text>
        <r>
          <rPr>
            <b/>
            <sz val="8"/>
            <rFont val="Tahoma"/>
            <family val="0"/>
          </rPr>
          <t>Office of Business and Financial Services:</t>
        </r>
        <r>
          <rPr>
            <sz val="8"/>
            <rFont val="Tahoma"/>
            <family val="0"/>
          </rPr>
          <t xml:space="preserve">
Added $25.9K for additional FY06 $500 Resident and $200 NR differential. Last year of increase.</t>
        </r>
      </text>
    </comment>
    <comment ref="M17" authorId="0">
      <text>
        <r>
          <rPr>
            <sz val="8"/>
            <rFont val="Tahoma"/>
            <family val="0"/>
          </rPr>
          <t>Pat Hoey:
FY05 Tuition Distributions for self-supporting College of Business: Pat prepared - FY05 Business Self-Supporting Tuition Distribution Revised</t>
        </r>
      </text>
    </comment>
  </commentList>
</comments>
</file>

<file path=xl/comments7.xml><?xml version="1.0" encoding="utf-8"?>
<comments xmlns="http://schemas.openxmlformats.org/spreadsheetml/2006/main">
  <authors>
    <author>phoey</author>
  </authors>
  <commentList>
    <comment ref="C11" authorId="0">
      <text>
        <r>
          <rPr>
            <b/>
            <sz val="8"/>
            <rFont val="Tahoma"/>
            <family val="0"/>
          </rPr>
          <t xml:space="preserve">srinehart:
reduced by MBA, Accy Masters, and Economics Net Summer tuition for Summer 2003 (I and II) - see Grad Distribution worksheet for calculation
</t>
        </r>
      </text>
    </comment>
  </commentList>
</comments>
</file>

<file path=xl/comments8.xml><?xml version="1.0" encoding="utf-8"?>
<comments xmlns="http://schemas.openxmlformats.org/spreadsheetml/2006/main">
  <authors>
    <author>phoey</author>
  </authors>
  <commentList>
    <comment ref="B3" authorId="0">
      <text>
        <r>
          <rPr>
            <b/>
            <sz val="8"/>
            <rFont val="Tahoma"/>
            <family val="0"/>
          </rPr>
          <t>phoey:</t>
        </r>
        <r>
          <rPr>
            <sz val="8"/>
            <rFont val="Tahoma"/>
            <family val="0"/>
          </rPr>
          <t xml:space="preserve">
Amounts estimated using Law and Vet Med enrollment projections and FY06 tuition rates.  Estimates were reviewed with college business management.
</t>
        </r>
      </text>
    </comment>
    <comment ref="D4" authorId="0">
      <text>
        <r>
          <rPr>
            <b/>
            <sz val="8"/>
            <rFont val="Tahoma"/>
            <family val="0"/>
          </rPr>
          <t>phoey:</t>
        </r>
        <r>
          <rPr>
            <sz val="8"/>
            <rFont val="Tahoma"/>
            <family val="0"/>
          </rPr>
          <t xml:space="preserve">
Estimated FY05 summer tuition
</t>
        </r>
      </text>
    </comment>
  </commentList>
</comments>
</file>

<file path=xl/sharedStrings.xml><?xml version="1.0" encoding="utf-8"?>
<sst xmlns="http://schemas.openxmlformats.org/spreadsheetml/2006/main" count="493" uniqueCount="181">
  <si>
    <t>Plus Value of Undergrad Assistants</t>
  </si>
  <si>
    <t>Income to be distributed</t>
  </si>
  <si>
    <t>Portion based on enrollment</t>
  </si>
  <si>
    <t>Portion based on IUs</t>
  </si>
  <si>
    <t>DISTRIBUTION OF SUMMER TUITION</t>
  </si>
  <si>
    <t>Summer</t>
  </si>
  <si>
    <t>Amt. to be Distributed</t>
  </si>
  <si>
    <t xml:space="preserve"> </t>
  </si>
  <si>
    <t>IU Distribution</t>
  </si>
  <si>
    <t>Ac Year</t>
  </si>
  <si>
    <t>Distribute</t>
  </si>
  <si>
    <t>Program</t>
  </si>
  <si>
    <t>Differentials</t>
  </si>
  <si>
    <t>Waivers</t>
  </si>
  <si>
    <t>Undergrad</t>
  </si>
  <si>
    <t>Average</t>
  </si>
  <si>
    <t>Regular</t>
  </si>
  <si>
    <t>% of</t>
  </si>
  <si>
    <t>Differ-</t>
  </si>
  <si>
    <t>in</t>
  </si>
  <si>
    <t xml:space="preserve">From </t>
  </si>
  <si>
    <t>Assistants</t>
  </si>
  <si>
    <t>IU's</t>
  </si>
  <si>
    <t>College</t>
  </si>
  <si>
    <t>Tuition</t>
  </si>
  <si>
    <t>Total</t>
  </si>
  <si>
    <t>Reg Tuition</t>
  </si>
  <si>
    <t>entials</t>
  </si>
  <si>
    <t>(000)'s</t>
  </si>
  <si>
    <t>Campus</t>
  </si>
  <si>
    <t>in (000)'s</t>
  </si>
  <si>
    <t>by IU's</t>
  </si>
  <si>
    <t>AGR, CONSUMER, &amp; ENV</t>
  </si>
  <si>
    <t>EDUCATION</t>
  </si>
  <si>
    <t>ENGINEERING</t>
  </si>
  <si>
    <t>FINE &amp; APPLIED ARTS</t>
  </si>
  <si>
    <t>COLLEGE OF COMMUNICA</t>
  </si>
  <si>
    <t>LAW</t>
  </si>
  <si>
    <t>LIBERAL ARTS &amp; SCIEN</t>
  </si>
  <si>
    <t>APPLIED LIFE STUDIES</t>
  </si>
  <si>
    <t>VETERINARY MEDICINE</t>
  </si>
  <si>
    <t>ARMED FORCES</t>
  </si>
  <si>
    <t>INSTITUTE OF AVIATIO</t>
  </si>
  <si>
    <t>LABOR &amp; INDUSTRIAL R</t>
  </si>
  <si>
    <t>SCHOOL OF SOCIAL WOR</t>
  </si>
  <si>
    <t>CEPS</t>
  </si>
  <si>
    <t>LIBRARY &amp; INFORMATIO</t>
  </si>
  <si>
    <t>ALL</t>
  </si>
  <si>
    <t>Graduate</t>
  </si>
  <si>
    <t>Estimated Summer Income</t>
  </si>
  <si>
    <t>%</t>
  </si>
  <si>
    <t>&amp; Regular</t>
  </si>
  <si>
    <t>From</t>
  </si>
  <si>
    <t>of</t>
  </si>
  <si>
    <t>Self-Suppt</t>
  </si>
  <si>
    <t>less Waivers</t>
  </si>
  <si>
    <t>Reg. Tuition</t>
  </si>
  <si>
    <t>Programs</t>
  </si>
  <si>
    <t>Net of</t>
  </si>
  <si>
    <t xml:space="preserve"> Tuition</t>
  </si>
  <si>
    <t>and Summ.</t>
  </si>
  <si>
    <t>Session</t>
  </si>
  <si>
    <t>in Budget</t>
  </si>
  <si>
    <t>Share</t>
  </si>
  <si>
    <t>TOTAL</t>
  </si>
  <si>
    <t>COMBINED</t>
  </si>
  <si>
    <t>AVG.</t>
  </si>
  <si>
    <t>EXTRAMURAL</t>
  </si>
  <si>
    <t>INCOME</t>
  </si>
  <si>
    <t>STIPENDS</t>
  </si>
  <si>
    <t>NET</t>
  </si>
  <si>
    <t>NET INCOME</t>
  </si>
  <si>
    <t>(000)</t>
  </si>
  <si>
    <t>Correspond.</t>
  </si>
  <si>
    <t>&amp; CORRESP.</t>
  </si>
  <si>
    <t>Undergraduate Tuition</t>
  </si>
  <si>
    <t>Graduate Tuition</t>
  </si>
  <si>
    <t>Based</t>
  </si>
  <si>
    <t>Self-</t>
  </si>
  <si>
    <t>Budgeted</t>
  </si>
  <si>
    <t>on College</t>
  </si>
  <si>
    <t>Differential</t>
  </si>
  <si>
    <t>Based on</t>
  </si>
  <si>
    <t>Less UG</t>
  </si>
  <si>
    <t>Total UG</t>
  </si>
  <si>
    <t>Supporting</t>
  </si>
  <si>
    <t>Professional</t>
  </si>
  <si>
    <t>of Enrollment</t>
  </si>
  <si>
    <t>programs</t>
  </si>
  <si>
    <t>Income</t>
  </si>
  <si>
    <t>less</t>
  </si>
  <si>
    <t>Net</t>
  </si>
  <si>
    <t>This file contains 9 spreadsheets which are used to determine the distribution of tuition income to colleges using Budget Reform rules.  Use the tabs at the bottom of the page to access the spreadsheets.</t>
  </si>
  <si>
    <t>The worksheets:</t>
  </si>
  <si>
    <t>IUs</t>
  </si>
  <si>
    <r>
      <t>Total Tuition.</t>
    </r>
    <r>
      <rPr>
        <sz val="10"/>
        <rFont val="Arial"/>
        <family val="0"/>
      </rPr>
      <t xml:space="preserve">  This table provides a summary of tuition distributions from the previous worksheets in this file.</t>
    </r>
  </si>
  <si>
    <t>2-Year</t>
  </si>
  <si>
    <t>Change</t>
  </si>
  <si>
    <t>FY02-01</t>
  </si>
  <si>
    <t>Tuition Generation By College</t>
  </si>
  <si>
    <t>Amount to distribute</t>
  </si>
  <si>
    <t>FY04</t>
  </si>
  <si>
    <r>
      <t>Prof Tuition.</t>
    </r>
    <r>
      <rPr>
        <sz val="10"/>
        <rFont val="Arial"/>
        <family val="0"/>
      </rPr>
      <t xml:space="preserve">  This table shows the assignment of professional tuition to Law and Vet Med.</t>
    </r>
  </si>
  <si>
    <r>
      <t xml:space="preserve">Extramural. </t>
    </r>
    <r>
      <rPr>
        <sz val="10"/>
        <rFont val="Arial"/>
        <family val="0"/>
      </rPr>
      <t xml:space="preserve"> Extramural income, less stipends paid by CEPS, is shown for the prior two years.  The average of these years is distributed by college.  Data for this table is provided by the CEPS Division of Academic Outreach.</t>
    </r>
  </si>
  <si>
    <t>Estimated</t>
  </si>
  <si>
    <t>Law</t>
  </si>
  <si>
    <t>VM</t>
  </si>
  <si>
    <t>FY05</t>
  </si>
  <si>
    <t>* Adjustment</t>
  </si>
  <si>
    <t>Commerce &amp; Business</t>
  </si>
  <si>
    <t xml:space="preserve">    - MBA</t>
  </si>
  <si>
    <t xml:space="preserve">    - Accy Masters</t>
  </si>
  <si>
    <t>Grad Distribution</t>
  </si>
  <si>
    <t>Total Summer</t>
  </si>
  <si>
    <t>*Summ. Tuition</t>
  </si>
  <si>
    <t>*</t>
  </si>
  <si>
    <t>less ISSC</t>
  </si>
  <si>
    <t>Less:  MBA Net Summer</t>
  </si>
  <si>
    <t>Less:  Accy Net Summer</t>
  </si>
  <si>
    <t>Econ</t>
  </si>
  <si>
    <t>LAS/CBA</t>
  </si>
  <si>
    <r>
      <t>Grad Summer.</t>
    </r>
    <r>
      <rPr>
        <sz val="10"/>
        <rFont val="Arial"/>
        <family val="0"/>
      </rPr>
      <t xml:space="preserve">  Projected income is distributed based on each colleges share of net income for the prior summer.</t>
    </r>
  </si>
  <si>
    <t>Less Summer Session Ofc</t>
  </si>
  <si>
    <t>New Differential</t>
  </si>
  <si>
    <r>
      <t>Grad Distribution.</t>
    </r>
    <r>
      <rPr>
        <sz val="10"/>
        <rFont val="Arial"/>
        <family val="0"/>
      </rPr>
      <t xml:space="preserve">  This sheet is used to determine the amount of graduate income received by colleges.  Projected income is distributed based on each colleges share of net tuition revenue.  Net revenue is determined by the prior year's tuition assessments for regular and differential tuition.  The value of waivers is then subtracted from assessments, leaving the net or collected tuition.  MBA and self-supporting programs are removed from these numbers, since actual earnings, in the year that they are received, are assigned to those programs.  For all other programs, estimated income is distributed based on each colleges share of net tuition.</t>
    </r>
  </si>
  <si>
    <t>Distribution of Tuition Income</t>
  </si>
  <si>
    <t>KL</t>
  </si>
  <si>
    <t>KM</t>
  </si>
  <si>
    <t>KN</t>
  </si>
  <si>
    <t>KP</t>
  </si>
  <si>
    <t>KR</t>
  </si>
  <si>
    <t>KT</t>
  </si>
  <si>
    <t>KU</t>
  </si>
  <si>
    <t>KV</t>
  </si>
  <si>
    <t>KY</t>
  </si>
  <si>
    <t>LC</t>
  </si>
  <si>
    <t>LD</t>
  </si>
  <si>
    <t>LE</t>
  </si>
  <si>
    <t>LG</t>
  </si>
  <si>
    <t>LL</t>
  </si>
  <si>
    <t>LN</t>
  </si>
  <si>
    <t>LP</t>
  </si>
  <si>
    <t>BUSINESS</t>
  </si>
  <si>
    <t>% Change</t>
  </si>
  <si>
    <t>DISTRIBUTION OF UNDERGRADUATE TUITION--FY06</t>
  </si>
  <si>
    <t>FY05 Overrealization</t>
  </si>
  <si>
    <t>ok</t>
  </si>
  <si>
    <t>FY05 Distribution</t>
  </si>
  <si>
    <t>Increment (7%)</t>
  </si>
  <si>
    <t>Graduate--Actual Fall 2004 and Spring 2005 Total</t>
  </si>
  <si>
    <t>FY05 Actual</t>
  </si>
  <si>
    <t xml:space="preserve">     - Summer 1 04</t>
  </si>
  <si>
    <t xml:space="preserve">     - Summer 2 04</t>
  </si>
  <si>
    <t>Summer I, II 2004</t>
  </si>
  <si>
    <t>FY06</t>
  </si>
  <si>
    <t>FY06-05</t>
  </si>
  <si>
    <t>FY06 vs. FY05</t>
  </si>
  <si>
    <t>5% FY06 Summer professional</t>
  </si>
  <si>
    <t>FY06 Tuition increment (0%)</t>
  </si>
  <si>
    <r>
      <t>Undergrad Income</t>
    </r>
    <r>
      <rPr>
        <sz val="10"/>
        <rFont val="Arial"/>
        <family val="0"/>
      </rPr>
      <t xml:space="preserve">.  This worksheet is used to determine how much of projected FY06 undergraduate tuition will be available for distribution on the basis of IUs and tuition collections.   </t>
    </r>
  </si>
  <si>
    <t>Cumulative</t>
  </si>
  <si>
    <t>ISAC Alloc</t>
  </si>
  <si>
    <t>FY06 ISAC</t>
  </si>
  <si>
    <t>FY05 ISAC</t>
  </si>
  <si>
    <t>FY04*</t>
  </si>
  <si>
    <t>FY04 &amp; FY04 AVG.</t>
  </si>
  <si>
    <t>* Note: Data for FY05 will be available at a later date; therefore, average is FY04. Adjustment will be made in FY06 for FY05 data.</t>
  </si>
  <si>
    <t>Fifty percent of UG income is distributed on the basis of IUs.  Again, the source of the IU data is DMI and is available on the DMI web site.  Each college receives income based on its share of total IUs.  The IU totals used in the calculation are the averages of the prior two years.</t>
  </si>
  <si>
    <r>
      <t>UG Distribution.</t>
    </r>
    <r>
      <rPr>
        <sz val="10"/>
        <rFont val="Arial"/>
        <family val="0"/>
      </rPr>
      <t xml:space="preserve"> 50% of the UG tuition available for distribution is distributed on the basis of each colleges share of tuition collections and 50% is distributed on the basis of each colleges share of IUs generated. The original Budget Reform plan was to distribute 50% of the income on the basis of enrollment.  This distribution was also to take into account the tuition range and the residency status of the student.  To simplify this distribution, tuition assessments are used as a surrogate for enrollment since they reflect the residency status and range of the student.  Tuition assessment data for the prior two years was provided by DMI and is available on the DMI web site.  Each colleges share of assessed tuition is used as the basis for distributing this portion of income.  The tuition assessment data used is the average of the prior two years.  If a college has 3.6% of the UG assessments, it will receive 3.6% of the income distributed in this fashion.</t>
    </r>
  </si>
  <si>
    <t>This sheet also contains the distribution of differential tuition income.  The estimated differential to be earned by the college in FY06 is used as the amount to be distributed.  The differentials have been reduced by a pro-rated share of the campus's projected ISAC shortfall.</t>
  </si>
  <si>
    <r>
      <t>UG Summer</t>
    </r>
    <r>
      <rPr>
        <sz val="10"/>
        <rFont val="Arial"/>
        <family val="0"/>
      </rPr>
      <t>.  Distributable UG summer income is distributed based on the average IUs for the two prior summers.</t>
    </r>
  </si>
  <si>
    <r>
      <t>Grad Income</t>
    </r>
    <r>
      <rPr>
        <sz val="10"/>
        <rFont val="Arial"/>
        <family val="0"/>
      </rPr>
      <t>.  This sheet is used to determine how much of projected FY06 graduate tuition income will be available for distribution.</t>
    </r>
  </si>
  <si>
    <r>
      <t>Prof Income.</t>
    </r>
    <r>
      <rPr>
        <sz val="10"/>
        <rFont val="Arial"/>
        <family val="0"/>
      </rPr>
      <t xml:space="preserve">  Estimates of professional income are developed based on tuition rates and enrollment projections.  Actual earnings will be compared to projections and budgets will be accordingly adjusted during the spring semester.</t>
    </r>
  </si>
  <si>
    <t>FY06 Est. Tuition</t>
  </si>
  <si>
    <t xml:space="preserve"> Estimated FY06</t>
  </si>
  <si>
    <t>FY05 Enrollment Growth</t>
  </si>
  <si>
    <t>DISTRIBUTION OF ACADEMIC YEAR TUITION-FY06</t>
  </si>
  <si>
    <t>FY06 Allocation of Graduate Summer Tuition</t>
  </si>
  <si>
    <t>Less ISAC Shortfall</t>
  </si>
  <si>
    <t>Corespond/</t>
  </si>
  <si>
    <t>Extramural/Other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</si>
</sst>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quot;$&quot;* #,##0.0_);_(&quot;$&quot;* \(#,##0.0\);_(&quot;$&quot;* &quot;-&quot;??_);_(@_)"/>
    <numFmt numFmtId="168" formatCode="_(&quot;$&quot;* #,##0_);_(&quot;$&quot;* \(#,##0\);_(&quot;$&quot;* &quot;-&quot;??_);_(@_)"/>
    <numFmt numFmtId="169" formatCode="_(&quot;$&quot;* #,##0.000_);_(&quot;$&quot;* \(#,##0.000\);_(&quot;$&quot;* &quot;-&quot;??_);_(@_)"/>
    <numFmt numFmtId="170" formatCode="_(&quot;$&quot;* #,##0.0000_);_(&quot;$&quot;* \(#,##0.0000\);_(&quot;$&quot;* &quot;-&quot;??_);_(@_)"/>
    <numFmt numFmtId="171" formatCode="_(* #,##0.000_);_(* \(#,##0.000\);_(* &quot;-&quot;??_);_(@_)"/>
    <numFmt numFmtId="172" formatCode="_(* #,##0.0000_);_(* \(#,##0.0000\);_(* &quot;-&quot;??_);_(@_)"/>
    <numFmt numFmtId="173" formatCode="0.0"/>
    <numFmt numFmtId="174" formatCode="0.000"/>
    <numFmt numFmtId="175" formatCode="0.0000"/>
    <numFmt numFmtId="176" formatCode="0.00000"/>
    <numFmt numFmtId="177" formatCode="0.0000000000000"/>
    <numFmt numFmtId="178" formatCode="0.000000"/>
    <numFmt numFmtId="179" formatCode="0.000%"/>
    <numFmt numFmtId="180" formatCode="0.0000%"/>
    <numFmt numFmtId="181" formatCode="0.00000%"/>
    <numFmt numFmtId="182" formatCode="0.000000%"/>
    <numFmt numFmtId="183" formatCode="_(* #,##0.0_);_(* \(#,##0.0\);_(* &quot;-&quot;?_);_(@_)"/>
  </numFmts>
  <fonts count="49">
    <font>
      <sz val="10"/>
      <name val="Arial"/>
      <family val="0"/>
    </font>
    <font>
      <b/>
      <sz val="10"/>
      <name val="Arial"/>
      <family val="0"/>
    </font>
    <font>
      <i/>
      <sz val="10"/>
      <name val="Arial"/>
      <family val="0"/>
    </font>
    <font>
      <b/>
      <i/>
      <sz val="10"/>
      <name val="Arial"/>
      <family val="0"/>
    </font>
    <font>
      <sz val="8"/>
      <name val="Arial"/>
      <family val="2"/>
    </font>
    <font>
      <u val="singleAccounting"/>
      <sz val="10"/>
      <name val="Arial"/>
      <family val="2"/>
    </font>
    <font>
      <sz val="8"/>
      <name val="Tahoma"/>
      <family val="0"/>
    </font>
    <font>
      <b/>
      <sz val="8"/>
      <name val="Tahoma"/>
      <family val="0"/>
    </font>
    <font>
      <sz val="10"/>
      <color indexed="10"/>
      <name val="Arial"/>
      <family val="2"/>
    </font>
    <font>
      <sz val="8"/>
      <color indexed="10"/>
      <name val="Arial"/>
      <family val="2"/>
    </font>
    <font>
      <sz val="10"/>
      <color indexed="8"/>
      <name val="Arial"/>
      <family val="2"/>
    </font>
    <font>
      <sz val="8"/>
      <color indexed="8"/>
      <name val="Arial"/>
      <family val="2"/>
    </font>
    <font>
      <b/>
      <u val="single"/>
      <sz val="10"/>
      <name val="Arial"/>
      <family val="2"/>
    </font>
    <font>
      <b/>
      <u val="singleAccounting"/>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6">
    <xf numFmtId="0" fontId="0" fillId="0" borderId="0" xfId="0" applyAlignment="1">
      <alignment/>
    </xf>
    <xf numFmtId="164" fontId="0" fillId="0" borderId="0" xfId="42" applyNumberFormat="1" applyFont="1" applyAlignment="1">
      <alignment/>
    </xf>
    <xf numFmtId="164" fontId="4" fillId="0" borderId="0" xfId="42" applyNumberFormat="1" applyFont="1" applyAlignment="1">
      <alignment/>
    </xf>
    <xf numFmtId="164" fontId="4" fillId="0" borderId="10" xfId="42" applyNumberFormat="1" applyFont="1" applyBorder="1" applyAlignment="1">
      <alignment horizontal="centerContinuous"/>
    </xf>
    <xf numFmtId="164" fontId="4" fillId="0" borderId="11" xfId="42" applyNumberFormat="1" applyFont="1" applyBorder="1" applyAlignment="1">
      <alignment horizontal="centerContinuous"/>
    </xf>
    <xf numFmtId="164" fontId="4" fillId="0" borderId="12" xfId="42" applyNumberFormat="1" applyFont="1" applyBorder="1" applyAlignment="1">
      <alignment/>
    </xf>
    <xf numFmtId="164" fontId="4" fillId="0" borderId="0" xfId="42" applyNumberFormat="1" applyFont="1" applyBorder="1" applyAlignment="1">
      <alignment/>
    </xf>
    <xf numFmtId="164" fontId="4" fillId="0" borderId="13" xfId="42" applyNumberFormat="1" applyFont="1" applyBorder="1" applyAlignment="1">
      <alignment/>
    </xf>
    <xf numFmtId="164" fontId="4" fillId="0" borderId="14" xfId="42" applyNumberFormat="1" applyFont="1" applyBorder="1" applyAlignment="1">
      <alignment/>
    </xf>
    <xf numFmtId="165" fontId="0" fillId="0" borderId="0" xfId="57" applyNumberFormat="1" applyFont="1" applyAlignment="1">
      <alignment/>
    </xf>
    <xf numFmtId="164" fontId="1" fillId="0" borderId="0" xfId="42" applyNumberFormat="1" applyFont="1" applyAlignment="1">
      <alignment/>
    </xf>
    <xf numFmtId="168" fontId="0" fillId="0" borderId="0" xfId="44" applyNumberFormat="1" applyFont="1" applyAlignment="1">
      <alignment/>
    </xf>
    <xf numFmtId="164" fontId="4" fillId="0" borderId="0" xfId="42" applyNumberFormat="1" applyFont="1" applyBorder="1" applyAlignment="1">
      <alignment horizontal="center"/>
    </xf>
    <xf numFmtId="164" fontId="4" fillId="0" borderId="13" xfId="42" applyNumberFormat="1" applyFont="1" applyBorder="1" applyAlignment="1">
      <alignment horizontal="center"/>
    </xf>
    <xf numFmtId="164" fontId="4" fillId="0" borderId="12" xfId="42" applyNumberFormat="1" applyFont="1" applyBorder="1" applyAlignment="1">
      <alignment horizontal="center"/>
    </xf>
    <xf numFmtId="164" fontId="4" fillId="0" borderId="15" xfId="42" applyNumberFormat="1" applyFont="1" applyBorder="1" applyAlignment="1">
      <alignment horizontal="center"/>
    </xf>
    <xf numFmtId="164" fontId="4" fillId="0" borderId="16" xfId="42" applyNumberFormat="1" applyFont="1" applyBorder="1" applyAlignment="1">
      <alignment horizontal="center"/>
    </xf>
    <xf numFmtId="9" fontId="0" fillId="0" borderId="0" xfId="57" applyFont="1" applyAlignment="1">
      <alignment/>
    </xf>
    <xf numFmtId="164" fontId="0" fillId="0" borderId="0" xfId="0" applyNumberFormat="1" applyAlignment="1">
      <alignment/>
    </xf>
    <xf numFmtId="0" fontId="4" fillId="0" borderId="0" xfId="0" applyFont="1" applyBorder="1" applyAlignment="1">
      <alignment horizontal="center"/>
    </xf>
    <xf numFmtId="0" fontId="4" fillId="0" borderId="13" xfId="0" applyFont="1" applyBorder="1" applyAlignment="1">
      <alignment horizontal="center"/>
    </xf>
    <xf numFmtId="0" fontId="4" fillId="0" borderId="0" xfId="0" applyFont="1" applyBorder="1" applyAlignment="1" quotePrefix="1">
      <alignment horizontal="center"/>
    </xf>
    <xf numFmtId="0" fontId="0" fillId="0" borderId="12" xfId="0" applyBorder="1" applyAlignment="1">
      <alignment/>
    </xf>
    <xf numFmtId="0" fontId="0" fillId="0" borderId="11" xfId="0" applyBorder="1" applyAlignment="1">
      <alignment horizontal="centerContinuous"/>
    </xf>
    <xf numFmtId="0" fontId="0" fillId="0" borderId="17" xfId="0" applyBorder="1" applyAlignment="1">
      <alignment horizontal="centerContinuous"/>
    </xf>
    <xf numFmtId="0" fontId="4" fillId="33" borderId="18" xfId="0" applyFont="1" applyFill="1" applyBorder="1" applyAlignment="1" quotePrefix="1">
      <alignment horizontal="center"/>
    </xf>
    <xf numFmtId="0" fontId="4" fillId="33" borderId="19" xfId="0" applyFont="1" applyFill="1" applyBorder="1" applyAlignment="1">
      <alignment horizontal="center"/>
    </xf>
    <xf numFmtId="168" fontId="4" fillId="33" borderId="19" xfId="44" applyNumberFormat="1" applyFont="1" applyFill="1" applyBorder="1" applyAlignment="1">
      <alignment horizontal="center"/>
    </xf>
    <xf numFmtId="0" fontId="4" fillId="33" borderId="20" xfId="0" applyFont="1" applyFill="1" applyBorder="1" applyAlignment="1">
      <alignment horizontal="center"/>
    </xf>
    <xf numFmtId="164" fontId="0" fillId="33" borderId="19" xfId="42" applyNumberFormat="1" applyFont="1" applyFill="1" applyBorder="1" applyAlignment="1">
      <alignment/>
    </xf>
    <xf numFmtId="0" fontId="0" fillId="33" borderId="19" xfId="0" applyFill="1" applyBorder="1" applyAlignment="1">
      <alignment/>
    </xf>
    <xf numFmtId="164" fontId="4" fillId="33" borderId="0" xfId="42" applyNumberFormat="1" applyFont="1" applyFill="1" applyBorder="1" applyAlignment="1">
      <alignment horizontal="center"/>
    </xf>
    <xf numFmtId="164" fontId="4" fillId="33" borderId="13" xfId="42" applyNumberFormat="1" applyFont="1" applyFill="1" applyBorder="1" applyAlignment="1">
      <alignment horizontal="center"/>
    </xf>
    <xf numFmtId="164" fontId="4" fillId="0" borderId="21" xfId="42" applyNumberFormat="1" applyFont="1" applyBorder="1" applyAlignment="1">
      <alignment horizontal="center"/>
    </xf>
    <xf numFmtId="164" fontId="4" fillId="0" borderId="22" xfId="42" applyNumberFormat="1" applyFont="1" applyBorder="1" applyAlignment="1">
      <alignment horizontal="center"/>
    </xf>
    <xf numFmtId="164" fontId="4" fillId="0" borderId="23" xfId="42" applyNumberFormat="1" applyFont="1" applyBorder="1" applyAlignment="1">
      <alignment horizontal="center"/>
    </xf>
    <xf numFmtId="164" fontId="0" fillId="0" borderId="11" xfId="42" applyNumberFormat="1" applyFont="1" applyBorder="1" applyAlignment="1">
      <alignment horizontal="centerContinuous"/>
    </xf>
    <xf numFmtId="164" fontId="0" fillId="0" borderId="17" xfId="42" applyNumberFormat="1" applyFont="1" applyBorder="1" applyAlignment="1">
      <alignment horizontal="centerContinuous"/>
    </xf>
    <xf numFmtId="164" fontId="4" fillId="0" borderId="19" xfId="42" applyNumberFormat="1" applyFont="1" applyBorder="1" applyAlignment="1">
      <alignment horizontal="center"/>
    </xf>
    <xf numFmtId="164" fontId="4" fillId="0" borderId="20" xfId="42" applyNumberFormat="1" applyFont="1" applyBorder="1" applyAlignment="1">
      <alignment horizontal="center"/>
    </xf>
    <xf numFmtId="0" fontId="0" fillId="0" borderId="21" xfId="0" applyBorder="1" applyAlignment="1">
      <alignment/>
    </xf>
    <xf numFmtId="0" fontId="0" fillId="0" borderId="15" xfId="0" applyBorder="1" applyAlignment="1">
      <alignment/>
    </xf>
    <xf numFmtId="0" fontId="0" fillId="0" borderId="16" xfId="0" applyBorder="1" applyAlignment="1">
      <alignment/>
    </xf>
    <xf numFmtId="0" fontId="4" fillId="33" borderId="24" xfId="0" applyFont="1" applyFill="1" applyBorder="1" applyAlignment="1">
      <alignment horizontal="center"/>
    </xf>
    <xf numFmtId="164" fontId="0" fillId="0" borderId="21" xfId="42" applyNumberFormat="1" applyFont="1" applyBorder="1" applyAlignment="1">
      <alignment/>
    </xf>
    <xf numFmtId="164" fontId="0" fillId="0" borderId="22" xfId="42" applyNumberFormat="1" applyFont="1" applyBorder="1" applyAlignment="1">
      <alignment/>
    </xf>
    <xf numFmtId="164" fontId="0" fillId="0" borderId="23" xfId="42" applyNumberFormat="1" applyFont="1" applyBorder="1" applyAlignment="1">
      <alignment/>
    </xf>
    <xf numFmtId="164" fontId="0" fillId="0" borderId="15" xfId="42" applyNumberFormat="1" applyFont="1" applyBorder="1" applyAlignment="1">
      <alignment/>
    </xf>
    <xf numFmtId="164" fontId="0" fillId="0" borderId="0" xfId="42" applyNumberFormat="1" applyFont="1" applyBorder="1" applyAlignment="1">
      <alignment/>
    </xf>
    <xf numFmtId="164" fontId="0" fillId="0" borderId="12" xfId="42" applyNumberFormat="1" applyFont="1" applyBorder="1" applyAlignment="1">
      <alignment/>
    </xf>
    <xf numFmtId="168" fontId="0" fillId="0" borderId="25" xfId="44" applyNumberFormat="1" applyFont="1" applyBorder="1" applyAlignment="1">
      <alignment/>
    </xf>
    <xf numFmtId="168" fontId="0" fillId="0" borderId="26" xfId="44" applyNumberFormat="1" applyFont="1" applyBorder="1" applyAlignment="1">
      <alignment/>
    </xf>
    <xf numFmtId="168" fontId="0" fillId="0" borderId="27" xfId="44" applyNumberFormat="1" applyFont="1" applyBorder="1" applyAlignment="1">
      <alignment/>
    </xf>
    <xf numFmtId="164" fontId="0" fillId="0" borderId="24" xfId="42" applyNumberFormat="1" applyFont="1" applyBorder="1" applyAlignment="1">
      <alignment/>
    </xf>
    <xf numFmtId="164" fontId="0" fillId="0" borderId="19" xfId="42" applyNumberFormat="1" applyFont="1" applyBorder="1" applyAlignment="1">
      <alignment/>
    </xf>
    <xf numFmtId="164" fontId="0" fillId="0" borderId="20" xfId="42" applyNumberFormat="1" applyFont="1" applyBorder="1" applyAlignment="1">
      <alignment/>
    </xf>
    <xf numFmtId="164" fontId="0" fillId="0" borderId="18" xfId="42" applyNumberFormat="1" applyFont="1" applyBorder="1" applyAlignment="1">
      <alignment/>
    </xf>
    <xf numFmtId="168" fontId="0" fillId="0" borderId="28" xfId="44" applyNumberFormat="1" applyFont="1" applyBorder="1" applyAlignment="1">
      <alignment/>
    </xf>
    <xf numFmtId="164" fontId="4" fillId="0" borderId="21" xfId="42" applyNumberFormat="1" applyFont="1" applyBorder="1" applyAlignment="1">
      <alignment/>
    </xf>
    <xf numFmtId="164" fontId="4" fillId="0" borderId="23" xfId="42" applyNumberFormat="1" applyFont="1" applyBorder="1" applyAlignment="1">
      <alignment/>
    </xf>
    <xf numFmtId="164" fontId="4" fillId="0" borderId="15" xfId="42" applyNumberFormat="1" applyFont="1" applyBorder="1" applyAlignment="1">
      <alignment/>
    </xf>
    <xf numFmtId="164" fontId="4" fillId="0" borderId="16" xfId="42" applyNumberFormat="1" applyFont="1" applyBorder="1" applyAlignment="1">
      <alignment/>
    </xf>
    <xf numFmtId="165" fontId="0" fillId="0" borderId="22" xfId="57" applyNumberFormat="1" applyFont="1" applyBorder="1" applyAlignment="1">
      <alignment/>
    </xf>
    <xf numFmtId="164" fontId="0" fillId="33" borderId="24" xfId="42" applyNumberFormat="1" applyFont="1" applyFill="1" applyBorder="1" applyAlignment="1">
      <alignment/>
    </xf>
    <xf numFmtId="0" fontId="0" fillId="33" borderId="24" xfId="0" applyFill="1" applyBorder="1" applyAlignment="1">
      <alignment/>
    </xf>
    <xf numFmtId="164" fontId="0" fillId="0" borderId="0" xfId="0" applyNumberFormat="1" applyBorder="1" applyAlignment="1">
      <alignment/>
    </xf>
    <xf numFmtId="0" fontId="0" fillId="0" borderId="0" xfId="0" applyBorder="1" applyAlignment="1">
      <alignment/>
    </xf>
    <xf numFmtId="168" fontId="0" fillId="33" borderId="28" xfId="44" applyNumberFormat="1" applyFont="1" applyFill="1" applyBorder="1" applyAlignment="1">
      <alignment/>
    </xf>
    <xf numFmtId="0" fontId="0" fillId="33" borderId="18" xfId="0" applyFill="1" applyBorder="1" applyAlignment="1">
      <alignment/>
    </xf>
    <xf numFmtId="165" fontId="0" fillId="0" borderId="0" xfId="0" applyNumberFormat="1" applyAlignment="1">
      <alignment/>
    </xf>
    <xf numFmtId="164" fontId="0" fillId="0" borderId="25" xfId="42" applyNumberFormat="1"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33" borderId="12" xfId="0" applyFont="1" applyFill="1" applyBorder="1" applyAlignment="1">
      <alignment horizontal="center"/>
    </xf>
    <xf numFmtId="0" fontId="4" fillId="33" borderId="14" xfId="0" applyFont="1" applyFill="1" applyBorder="1" applyAlignment="1">
      <alignment horizontal="center"/>
    </xf>
    <xf numFmtId="164" fontId="0" fillId="33" borderId="12" xfId="42" applyNumberFormat="1" applyFont="1" applyFill="1" applyBorder="1" applyAlignment="1">
      <alignment/>
    </xf>
    <xf numFmtId="0" fontId="4" fillId="0" borderId="10" xfId="0" applyFont="1" applyBorder="1" applyAlignment="1">
      <alignment horizontal="centerContinuous"/>
    </xf>
    <xf numFmtId="165" fontId="0" fillId="0" borderId="0" xfId="57" applyNumberFormat="1" applyFont="1" applyBorder="1" applyAlignment="1">
      <alignment/>
    </xf>
    <xf numFmtId="165" fontId="0" fillId="0" borderId="26" xfId="57" applyNumberFormat="1" applyFont="1" applyBorder="1" applyAlignment="1">
      <alignment/>
    </xf>
    <xf numFmtId="168" fontId="0" fillId="33" borderId="26" xfId="44" applyNumberFormat="1" applyFont="1" applyFill="1" applyBorder="1" applyAlignment="1">
      <alignment/>
    </xf>
    <xf numFmtId="0" fontId="0" fillId="0" borderId="28" xfId="0" applyBorder="1" applyAlignment="1">
      <alignment/>
    </xf>
    <xf numFmtId="168" fontId="0" fillId="33" borderId="27" xfId="44" applyNumberFormat="1" applyFont="1" applyFill="1" applyBorder="1" applyAlignment="1">
      <alignment/>
    </xf>
    <xf numFmtId="164" fontId="0" fillId="33" borderId="0" xfId="42" applyNumberFormat="1" applyFont="1" applyFill="1" applyBorder="1" applyAlignment="1">
      <alignment/>
    </xf>
    <xf numFmtId="164" fontId="4" fillId="0" borderId="14" xfId="42" applyNumberFormat="1" applyFont="1" applyBorder="1" applyAlignment="1">
      <alignment horizontal="center"/>
    </xf>
    <xf numFmtId="164" fontId="4" fillId="0" borderId="0" xfId="42" applyNumberFormat="1" applyFont="1" applyBorder="1" applyAlignment="1" quotePrefix="1">
      <alignment horizontal="center"/>
    </xf>
    <xf numFmtId="168" fontId="4" fillId="33" borderId="0" xfId="44" applyNumberFormat="1" applyFont="1" applyFill="1" applyBorder="1" applyAlignment="1">
      <alignment/>
    </xf>
    <xf numFmtId="164" fontId="5" fillId="0" borderId="0" xfId="42" applyNumberFormat="1" applyFont="1" applyAlignment="1">
      <alignment/>
    </xf>
    <xf numFmtId="164" fontId="4" fillId="0" borderId="23" xfId="42" applyNumberFormat="1" applyFont="1" applyBorder="1" applyAlignment="1" quotePrefix="1">
      <alignment horizontal="center"/>
    </xf>
    <xf numFmtId="164" fontId="0" fillId="0" borderId="28" xfId="42" applyNumberFormat="1" applyFont="1" applyBorder="1" applyAlignment="1">
      <alignment/>
    </xf>
    <xf numFmtId="164" fontId="0" fillId="0" borderId="17" xfId="42" applyNumberFormat="1" applyFont="1" applyBorder="1" applyAlignment="1">
      <alignment/>
    </xf>
    <xf numFmtId="164" fontId="4" fillId="0" borderId="19" xfId="42" applyNumberFormat="1" applyFont="1" applyBorder="1" applyAlignment="1">
      <alignment/>
    </xf>
    <xf numFmtId="164" fontId="4" fillId="0" borderId="24" xfId="42" applyNumberFormat="1" applyFont="1" applyBorder="1" applyAlignment="1">
      <alignment/>
    </xf>
    <xf numFmtId="0" fontId="4" fillId="0" borderId="22" xfId="0" applyFont="1" applyBorder="1" applyAlignment="1">
      <alignment horizontal="center"/>
    </xf>
    <xf numFmtId="165" fontId="0" fillId="0" borderId="26" xfId="0" applyNumberFormat="1" applyBorder="1" applyAlignment="1">
      <alignment/>
    </xf>
    <xf numFmtId="164" fontId="0" fillId="33" borderId="19" xfId="0" applyNumberFormat="1" applyFill="1" applyBorder="1" applyAlignment="1">
      <alignment/>
    </xf>
    <xf numFmtId="168" fontId="0" fillId="0" borderId="0" xfId="44" applyNumberFormat="1" applyFont="1" applyBorder="1" applyAlignment="1">
      <alignment/>
    </xf>
    <xf numFmtId="165" fontId="0" fillId="0" borderId="27" xfId="57" applyNumberFormat="1" applyFont="1" applyBorder="1" applyAlignment="1">
      <alignment/>
    </xf>
    <xf numFmtId="164" fontId="4" fillId="33" borderId="24" xfId="42" applyNumberFormat="1" applyFont="1" applyFill="1" applyBorder="1" applyAlignment="1">
      <alignment horizontal="center"/>
    </xf>
    <xf numFmtId="168" fontId="4" fillId="33" borderId="19" xfId="44" applyNumberFormat="1" applyFont="1" applyFill="1" applyBorder="1" applyAlignment="1">
      <alignment/>
    </xf>
    <xf numFmtId="164" fontId="4" fillId="33" borderId="20" xfId="42" applyNumberFormat="1" applyFont="1" applyFill="1" applyBorder="1" applyAlignment="1">
      <alignment horizontal="center"/>
    </xf>
    <xf numFmtId="1" fontId="0" fillId="33" borderId="24" xfId="0" applyNumberFormat="1" applyFill="1" applyBorder="1" applyAlignment="1">
      <alignment/>
    </xf>
    <xf numFmtId="164" fontId="0" fillId="33" borderId="20" xfId="42" applyNumberFormat="1" applyFont="1" applyFill="1" applyBorder="1" applyAlignment="1">
      <alignment/>
    </xf>
    <xf numFmtId="164" fontId="4" fillId="0" borderId="26" xfId="42" applyNumberFormat="1" applyFont="1" applyBorder="1" applyAlignment="1">
      <alignment horizontal="centerContinuous"/>
    </xf>
    <xf numFmtId="164" fontId="4" fillId="0" borderId="27" xfId="42" applyNumberFormat="1" applyFont="1" applyBorder="1" applyAlignment="1">
      <alignment horizontal="centerContinuous"/>
    </xf>
    <xf numFmtId="164" fontId="4" fillId="0" borderId="25" xfId="42" applyNumberFormat="1" applyFont="1" applyBorder="1" applyAlignment="1">
      <alignment horizontal="centerContinuous"/>
    </xf>
    <xf numFmtId="164" fontId="4" fillId="0" borderId="25" xfId="42" applyNumberFormat="1" applyFont="1" applyBorder="1" applyAlignment="1">
      <alignment/>
    </xf>
    <xf numFmtId="164" fontId="4" fillId="0" borderId="27" xfId="42" applyNumberFormat="1" applyFont="1" applyBorder="1" applyAlignment="1">
      <alignment/>
    </xf>
    <xf numFmtId="164" fontId="4" fillId="0" borderId="14" xfId="42" applyNumberFormat="1" applyFont="1" applyBorder="1" applyAlignment="1" quotePrefix="1">
      <alignment horizontal="center"/>
    </xf>
    <xf numFmtId="164" fontId="0" fillId="0" borderId="0" xfId="42" applyNumberFormat="1" applyAlignment="1">
      <alignment/>
    </xf>
    <xf numFmtId="168" fontId="4" fillId="33" borderId="12" xfId="44" applyNumberFormat="1" applyFont="1" applyFill="1" applyBorder="1" applyAlignment="1">
      <alignment horizontal="center"/>
    </xf>
    <xf numFmtId="164" fontId="5" fillId="0" borderId="0" xfId="42" applyNumberFormat="1" applyFont="1" applyAlignment="1">
      <alignment horizontal="center"/>
    </xf>
    <xf numFmtId="43" fontId="0" fillId="0" borderId="0" xfId="42" applyNumberFormat="1" applyFont="1" applyAlignment="1">
      <alignment/>
    </xf>
    <xf numFmtId="164" fontId="0" fillId="0" borderId="16" xfId="42" applyNumberFormat="1" applyFont="1" applyBorder="1" applyAlignment="1">
      <alignment/>
    </xf>
    <xf numFmtId="164" fontId="4" fillId="33" borderId="16" xfId="42" applyNumberFormat="1" applyFont="1" applyFill="1" applyBorder="1" applyAlignment="1">
      <alignment horizontal="center"/>
    </xf>
    <xf numFmtId="1" fontId="0" fillId="33" borderId="21" xfId="0" applyNumberFormat="1" applyFill="1" applyBorder="1" applyAlignment="1">
      <alignment/>
    </xf>
    <xf numFmtId="0" fontId="1" fillId="0" borderId="0" xfId="0" applyFont="1" applyAlignment="1">
      <alignment horizontal="center"/>
    </xf>
    <xf numFmtId="164" fontId="0" fillId="0" borderId="0" xfId="42" applyNumberFormat="1" applyFont="1" applyBorder="1"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0" fontId="0" fillId="0" borderId="0" xfId="0" applyNumberFormat="1" applyAlignment="1">
      <alignment wrapText="1"/>
    </xf>
    <xf numFmtId="1" fontId="0" fillId="0" borderId="0" xfId="0" applyNumberFormat="1" applyAlignment="1">
      <alignment/>
    </xf>
    <xf numFmtId="166" fontId="0" fillId="0" borderId="0" xfId="42" applyNumberFormat="1" applyFont="1" applyAlignment="1">
      <alignment/>
    </xf>
    <xf numFmtId="164" fontId="1" fillId="0" borderId="0" xfId="42" applyNumberFormat="1" applyFont="1" applyAlignment="1">
      <alignment/>
    </xf>
    <xf numFmtId="164" fontId="0" fillId="0" borderId="24" xfId="42" applyNumberFormat="1" applyFont="1" applyBorder="1" applyAlignment="1">
      <alignment horizontal="center"/>
    </xf>
    <xf numFmtId="164" fontId="0" fillId="0" borderId="19" xfId="42" applyNumberFormat="1" applyFont="1" applyBorder="1" applyAlignment="1">
      <alignment horizontal="center"/>
    </xf>
    <xf numFmtId="164" fontId="0" fillId="0" borderId="20" xfId="42" applyNumberFormat="1" applyFont="1" applyBorder="1" applyAlignment="1">
      <alignment horizontal="center"/>
    </xf>
    <xf numFmtId="166" fontId="4" fillId="0" borderId="0" xfId="42" applyNumberFormat="1" applyFont="1" applyAlignment="1">
      <alignment/>
    </xf>
    <xf numFmtId="166" fontId="4" fillId="0" borderId="0" xfId="42" applyNumberFormat="1" applyFont="1" applyBorder="1" applyAlignment="1">
      <alignment/>
    </xf>
    <xf numFmtId="166" fontId="4" fillId="0" borderId="23" xfId="42" applyNumberFormat="1" applyFont="1" applyBorder="1" applyAlignment="1">
      <alignment/>
    </xf>
    <xf numFmtId="166" fontId="4" fillId="0" borderId="12" xfId="42" applyNumberFormat="1" applyFont="1" applyBorder="1" applyAlignment="1">
      <alignment/>
    </xf>
    <xf numFmtId="166" fontId="0" fillId="0" borderId="0" xfId="42" applyNumberFormat="1" applyFont="1" applyBorder="1" applyAlignment="1">
      <alignment/>
    </xf>
    <xf numFmtId="166" fontId="0" fillId="0" borderId="13" xfId="42" applyNumberFormat="1" applyFont="1" applyBorder="1" applyAlignment="1">
      <alignment/>
    </xf>
    <xf numFmtId="166" fontId="0" fillId="0" borderId="19" xfId="42" applyNumberFormat="1" applyFont="1" applyBorder="1" applyAlignment="1">
      <alignment/>
    </xf>
    <xf numFmtId="166" fontId="0" fillId="0" borderId="24" xfId="42" applyNumberFormat="1" applyFont="1" applyBorder="1" applyAlignment="1">
      <alignment horizontal="center"/>
    </xf>
    <xf numFmtId="166" fontId="0" fillId="0" borderId="22" xfId="42" applyNumberFormat="1" applyFont="1" applyBorder="1" applyAlignment="1">
      <alignment horizontal="center"/>
    </xf>
    <xf numFmtId="166" fontId="0" fillId="0" borderId="19" xfId="42" applyNumberFormat="1" applyFont="1" applyBorder="1" applyAlignment="1">
      <alignment horizontal="center"/>
    </xf>
    <xf numFmtId="166" fontId="0" fillId="0" borderId="0" xfId="42" applyNumberFormat="1" applyFont="1" applyBorder="1" applyAlignment="1">
      <alignment horizontal="center"/>
    </xf>
    <xf numFmtId="166" fontId="0" fillId="0" borderId="20" xfId="42" applyNumberFormat="1" applyFont="1" applyBorder="1" applyAlignment="1">
      <alignment horizontal="center"/>
    </xf>
    <xf numFmtId="166" fontId="0" fillId="0" borderId="13" xfId="42" applyNumberFormat="1" applyFont="1" applyBorder="1" applyAlignment="1">
      <alignment horizontal="center"/>
    </xf>
    <xf numFmtId="10" fontId="0" fillId="0" borderId="0" xfId="57" applyNumberFormat="1" applyFont="1" applyAlignment="1">
      <alignment/>
    </xf>
    <xf numFmtId="10" fontId="0" fillId="0" borderId="11" xfId="57" applyNumberFormat="1" applyFont="1" applyBorder="1" applyAlignment="1">
      <alignment horizontal="centerContinuous"/>
    </xf>
    <xf numFmtId="10" fontId="4" fillId="0" borderId="0" xfId="57" applyNumberFormat="1" applyFont="1" applyAlignment="1">
      <alignment/>
    </xf>
    <xf numFmtId="10" fontId="4" fillId="0" borderId="0" xfId="57" applyNumberFormat="1" applyFont="1" applyAlignment="1">
      <alignment horizontal="center"/>
    </xf>
    <xf numFmtId="10" fontId="4" fillId="0" borderId="13" xfId="57" applyNumberFormat="1" applyFont="1" applyBorder="1" applyAlignment="1">
      <alignment horizontal="center"/>
    </xf>
    <xf numFmtId="10" fontId="0" fillId="0" borderId="0" xfId="57" applyNumberFormat="1" applyFont="1" applyBorder="1" applyAlignment="1">
      <alignment/>
    </xf>
    <xf numFmtId="10" fontId="0" fillId="0" borderId="26" xfId="57" applyNumberFormat="1" applyFont="1" applyBorder="1" applyAlignment="1">
      <alignment/>
    </xf>
    <xf numFmtId="10" fontId="4" fillId="0" borderId="11" xfId="57" applyNumberFormat="1" applyFont="1" applyBorder="1" applyAlignment="1">
      <alignment horizontal="centerContinuous"/>
    </xf>
    <xf numFmtId="10" fontId="4" fillId="0" borderId="0" xfId="57" applyNumberFormat="1" applyFont="1" applyBorder="1" applyAlignment="1">
      <alignment horizontal="center"/>
    </xf>
    <xf numFmtId="10" fontId="4" fillId="0" borderId="0" xfId="57" applyNumberFormat="1" applyFont="1" applyBorder="1" applyAlignment="1" quotePrefix="1">
      <alignment horizontal="center"/>
    </xf>
    <xf numFmtId="166" fontId="4" fillId="0" borderId="25" xfId="42" applyNumberFormat="1" applyFont="1" applyBorder="1" applyAlignment="1">
      <alignment/>
    </xf>
    <xf numFmtId="166" fontId="4" fillId="0" borderId="27" xfId="42" applyNumberFormat="1" applyFont="1" applyBorder="1" applyAlignment="1">
      <alignment/>
    </xf>
    <xf numFmtId="0" fontId="4" fillId="0" borderId="0" xfId="0" applyFont="1" applyBorder="1" applyAlignment="1">
      <alignment/>
    </xf>
    <xf numFmtId="0" fontId="4" fillId="0" borderId="12" xfId="0" applyFont="1" applyBorder="1" applyAlignment="1">
      <alignment/>
    </xf>
    <xf numFmtId="164" fontId="0" fillId="0" borderId="0" xfId="42" applyNumberFormat="1" applyFont="1" applyAlignment="1">
      <alignment horizontal="center"/>
    </xf>
    <xf numFmtId="164" fontId="0" fillId="0" borderId="0" xfId="42" applyNumberFormat="1" applyFont="1" applyAlignment="1">
      <alignment/>
    </xf>
    <xf numFmtId="164" fontId="0" fillId="0" borderId="13" xfId="42" applyNumberFormat="1" applyFont="1" applyBorder="1" applyAlignment="1">
      <alignment horizontal="center"/>
    </xf>
    <xf numFmtId="168" fontId="0" fillId="0" borderId="0" xfId="44" applyNumberFormat="1" applyAlignment="1">
      <alignment/>
    </xf>
    <xf numFmtId="166" fontId="0" fillId="0" borderId="12" xfId="42" applyNumberFormat="1" applyFont="1" applyBorder="1" applyAlignment="1">
      <alignment/>
    </xf>
    <xf numFmtId="166" fontId="0" fillId="0" borderId="11" xfId="42" applyNumberFormat="1" applyFont="1" applyBorder="1" applyAlignment="1">
      <alignment/>
    </xf>
    <xf numFmtId="166" fontId="4" fillId="0" borderId="22" xfId="42" applyNumberFormat="1" applyFont="1" applyBorder="1" applyAlignment="1">
      <alignment/>
    </xf>
    <xf numFmtId="166" fontId="0" fillId="0" borderId="17" xfId="42" applyNumberFormat="1" applyFont="1" applyBorder="1" applyAlignment="1">
      <alignment horizontal="centerContinuous"/>
    </xf>
    <xf numFmtId="166" fontId="4" fillId="0" borderId="23" xfId="42" applyNumberFormat="1" applyFont="1" applyBorder="1" applyAlignment="1">
      <alignment horizontal="center"/>
    </xf>
    <xf numFmtId="166" fontId="4" fillId="0" borderId="12" xfId="42" applyNumberFormat="1" applyFont="1" applyBorder="1" applyAlignment="1">
      <alignment horizontal="center"/>
    </xf>
    <xf numFmtId="166" fontId="4" fillId="0" borderId="14" xfId="42" applyNumberFormat="1" applyFont="1" applyBorder="1" applyAlignment="1">
      <alignment horizontal="center"/>
    </xf>
    <xf numFmtId="166" fontId="0" fillId="0" borderId="11" xfId="42" applyNumberFormat="1" applyFont="1" applyBorder="1" applyAlignment="1">
      <alignment horizontal="centerContinuous"/>
    </xf>
    <xf numFmtId="166" fontId="4" fillId="0" borderId="22" xfId="42" applyNumberFormat="1" applyFont="1" applyBorder="1" applyAlignment="1">
      <alignment horizontal="center"/>
    </xf>
    <xf numFmtId="166" fontId="4" fillId="0" borderId="0" xfId="42" applyNumberFormat="1" applyFont="1" applyBorder="1" applyAlignment="1">
      <alignment horizontal="center"/>
    </xf>
    <xf numFmtId="0" fontId="8" fillId="0" borderId="21" xfId="0" applyFont="1" applyBorder="1" applyAlignment="1">
      <alignment/>
    </xf>
    <xf numFmtId="164" fontId="9" fillId="0" borderId="15" xfId="42" applyNumberFormat="1" applyFont="1" applyBorder="1" applyAlignment="1">
      <alignment horizontal="center"/>
    </xf>
    <xf numFmtId="164" fontId="9" fillId="0" borderId="16" xfId="42" applyNumberFormat="1" applyFont="1" applyBorder="1" applyAlignment="1">
      <alignment horizontal="center"/>
    </xf>
    <xf numFmtId="164" fontId="8" fillId="0" borderId="0" xfId="42" applyNumberFormat="1" applyFont="1" applyAlignment="1">
      <alignment/>
    </xf>
    <xf numFmtId="0" fontId="8" fillId="0" borderId="0" xfId="0" applyFont="1" applyAlignment="1">
      <alignment/>
    </xf>
    <xf numFmtId="164" fontId="8" fillId="0" borderId="25" xfId="0" applyNumberFormat="1" applyFont="1" applyBorder="1" applyAlignment="1">
      <alignment/>
    </xf>
    <xf numFmtId="164" fontId="0" fillId="0" borderId="0" xfId="42" applyNumberFormat="1" applyFont="1" applyFill="1" applyBorder="1" applyAlignment="1">
      <alignment/>
    </xf>
    <xf numFmtId="0" fontId="0" fillId="0" borderId="0" xfId="0" applyFill="1" applyBorder="1" applyAlignment="1">
      <alignment/>
    </xf>
    <xf numFmtId="164" fontId="8" fillId="0" borderId="0" xfId="42" applyNumberFormat="1" applyFont="1" applyBorder="1" applyAlignment="1">
      <alignment/>
    </xf>
    <xf numFmtId="164" fontId="8" fillId="0" borderId="0" xfId="0" applyNumberFormat="1" applyFont="1" applyBorder="1" applyAlignment="1">
      <alignment/>
    </xf>
    <xf numFmtId="164" fontId="10" fillId="0" borderId="0" xfId="42" applyNumberFormat="1" applyFont="1" applyBorder="1" applyAlignment="1">
      <alignment/>
    </xf>
    <xf numFmtId="164" fontId="10" fillId="0" borderId="0" xfId="0" applyNumberFormat="1" applyFont="1" applyBorder="1" applyAlignment="1">
      <alignment/>
    </xf>
    <xf numFmtId="164" fontId="10" fillId="0" borderId="0" xfId="42" applyNumberFormat="1" applyFont="1" applyAlignment="1">
      <alignment/>
    </xf>
    <xf numFmtId="3" fontId="8" fillId="0" borderId="0" xfId="0" applyNumberFormat="1" applyFont="1" applyBorder="1" applyAlignment="1">
      <alignment/>
    </xf>
    <xf numFmtId="164" fontId="0" fillId="34" borderId="0" xfId="0" applyNumberFormat="1" applyFill="1" applyBorder="1" applyAlignment="1">
      <alignment/>
    </xf>
    <xf numFmtId="164" fontId="5" fillId="34" borderId="0" xfId="42" applyNumberFormat="1" applyFont="1" applyFill="1" applyBorder="1" applyAlignment="1">
      <alignment/>
    </xf>
    <xf numFmtId="164" fontId="8" fillId="0" borderId="24" xfId="0" applyNumberFormat="1" applyFont="1" applyBorder="1" applyAlignment="1">
      <alignment/>
    </xf>
    <xf numFmtId="164" fontId="8" fillId="0" borderId="19" xfId="0" applyNumberFormat="1" applyFont="1" applyBorder="1" applyAlignment="1">
      <alignment/>
    </xf>
    <xf numFmtId="164" fontId="8" fillId="0" borderId="20" xfId="0" applyNumberFormat="1" applyFont="1" applyBorder="1" applyAlignment="1">
      <alignment/>
    </xf>
    <xf numFmtId="49" fontId="4" fillId="0" borderId="0" xfId="0" applyNumberFormat="1" applyFont="1" applyBorder="1" applyAlignment="1">
      <alignment/>
    </xf>
    <xf numFmtId="43" fontId="0" fillId="0" borderId="0" xfId="42" applyFont="1" applyBorder="1" applyAlignment="1">
      <alignment/>
    </xf>
    <xf numFmtId="43" fontId="0" fillId="0" borderId="0" xfId="42" applyFont="1" applyAlignment="1">
      <alignment/>
    </xf>
    <xf numFmtId="164" fontId="1" fillId="0" borderId="0" xfId="0" applyNumberFormat="1" applyFont="1" applyBorder="1" applyAlignment="1">
      <alignment horizontal="center"/>
    </xf>
    <xf numFmtId="10" fontId="0" fillId="0" borderId="13" xfId="57" applyNumberFormat="1" applyFont="1" applyBorder="1" applyAlignment="1">
      <alignment/>
    </xf>
    <xf numFmtId="164" fontId="0" fillId="0" borderId="0" xfId="42" applyNumberFormat="1" applyFont="1" applyAlignment="1">
      <alignment horizontal="left"/>
    </xf>
    <xf numFmtId="164" fontId="11" fillId="0" borderId="15" xfId="42" applyNumberFormat="1" applyFont="1" applyBorder="1" applyAlignment="1">
      <alignment horizontal="center"/>
    </xf>
    <xf numFmtId="164" fontId="11" fillId="0" borderId="0" xfId="42" applyNumberFormat="1" applyFont="1" applyBorder="1" applyAlignment="1">
      <alignment horizontal="center"/>
    </xf>
    <xf numFmtId="0" fontId="11" fillId="0" borderId="0" xfId="0" applyFont="1" applyBorder="1" applyAlignment="1">
      <alignment horizontal="center"/>
    </xf>
    <xf numFmtId="164" fontId="11" fillId="0" borderId="16" xfId="42" applyNumberFormat="1" applyFont="1" applyBorder="1" applyAlignment="1">
      <alignment horizontal="center"/>
    </xf>
    <xf numFmtId="164" fontId="11" fillId="0" borderId="13" xfId="42" applyNumberFormat="1" applyFont="1" applyBorder="1" applyAlignment="1">
      <alignment horizontal="center"/>
    </xf>
    <xf numFmtId="0" fontId="11" fillId="0" borderId="13" xfId="0" applyFont="1" applyBorder="1" applyAlignment="1">
      <alignment horizontal="center"/>
    </xf>
    <xf numFmtId="164" fontId="10" fillId="0" borderId="26" xfId="42" applyNumberFormat="1" applyFont="1" applyBorder="1" applyAlignment="1">
      <alignment/>
    </xf>
    <xf numFmtId="164" fontId="10" fillId="0" borderId="21" xfId="42" applyNumberFormat="1" applyFont="1" applyBorder="1" applyAlignment="1">
      <alignment/>
    </xf>
    <xf numFmtId="164" fontId="10" fillId="0" borderId="22" xfId="0" applyNumberFormat="1" applyFont="1" applyBorder="1" applyAlignment="1">
      <alignment/>
    </xf>
    <xf numFmtId="164" fontId="10" fillId="0" borderId="15" xfId="42" applyNumberFormat="1" applyFont="1" applyBorder="1" applyAlignment="1">
      <alignment/>
    </xf>
    <xf numFmtId="164" fontId="10" fillId="0" borderId="16" xfId="42" applyNumberFormat="1" applyFont="1" applyBorder="1" applyAlignment="1">
      <alignment/>
    </xf>
    <xf numFmtId="168" fontId="10" fillId="0" borderId="25" xfId="44" applyNumberFormat="1" applyFont="1" applyBorder="1" applyAlignment="1">
      <alignment/>
    </xf>
    <xf numFmtId="168" fontId="10" fillId="0" borderId="26" xfId="44" applyNumberFormat="1" applyFont="1" applyBorder="1" applyAlignment="1">
      <alignment/>
    </xf>
    <xf numFmtId="0" fontId="0" fillId="0" borderId="0" xfId="0" applyFont="1" applyAlignment="1">
      <alignment/>
    </xf>
    <xf numFmtId="49" fontId="4" fillId="0" borderId="0" xfId="0" applyNumberFormat="1" applyFont="1" applyFill="1" applyBorder="1" applyAlignment="1">
      <alignment/>
    </xf>
    <xf numFmtId="0" fontId="4" fillId="0" borderId="0" xfId="0" applyFont="1" applyFill="1" applyBorder="1" applyAlignment="1">
      <alignment/>
    </xf>
    <xf numFmtId="164" fontId="10" fillId="0" borderId="0" xfId="42" applyNumberFormat="1" applyFont="1" applyFill="1" applyAlignment="1">
      <alignment/>
    </xf>
    <xf numFmtId="0" fontId="12" fillId="0" borderId="0" xfId="0" applyFont="1" applyAlignment="1">
      <alignment/>
    </xf>
    <xf numFmtId="164" fontId="13" fillId="0" borderId="0" xfId="0" applyNumberFormat="1" applyFont="1" applyBorder="1" applyAlignment="1">
      <alignment horizontal="center"/>
    </xf>
    <xf numFmtId="41" fontId="0" fillId="0" borderId="0" xfId="0" applyNumberFormat="1" applyFont="1" applyBorder="1" applyAlignment="1">
      <alignment horizontal="center"/>
    </xf>
    <xf numFmtId="164" fontId="10" fillId="0" borderId="25" xfId="42" applyNumberFormat="1" applyFont="1" applyBorder="1" applyAlignment="1">
      <alignment/>
    </xf>
    <xf numFmtId="0" fontId="11" fillId="0" borderId="0" xfId="0" applyFont="1" applyAlignment="1">
      <alignment horizontal="center"/>
    </xf>
    <xf numFmtId="164" fontId="0" fillId="0" borderId="0" xfId="0" applyNumberFormat="1" applyFont="1" applyBorder="1" applyAlignment="1">
      <alignment horizontal="center"/>
    </xf>
    <xf numFmtId="164" fontId="0" fillId="0" borderId="11" xfId="0" applyNumberFormat="1" applyFont="1" applyBorder="1" applyAlignment="1">
      <alignment horizontal="center"/>
    </xf>
    <xf numFmtId="164" fontId="0" fillId="0" borderId="13" xfId="0" applyNumberFormat="1" applyFont="1" applyBorder="1" applyAlignment="1">
      <alignment horizontal="center"/>
    </xf>
    <xf numFmtId="164" fontId="4" fillId="0" borderId="0" xfId="42" applyNumberFormat="1" applyFont="1" applyFill="1" applyBorder="1" applyAlignment="1">
      <alignment/>
    </xf>
    <xf numFmtId="164" fontId="4" fillId="0" borderId="18" xfId="42" applyNumberFormat="1" applyFont="1" applyBorder="1" applyAlignment="1">
      <alignment horizontal="centerContinuous"/>
    </xf>
    <xf numFmtId="168" fontId="0" fillId="35" borderId="28" xfId="44" applyNumberFormat="1" applyFont="1" applyFill="1" applyBorder="1" applyAlignment="1">
      <alignment/>
    </xf>
    <xf numFmtId="164" fontId="4" fillId="0" borderId="17" xfId="42" applyNumberFormat="1" applyFont="1" applyBorder="1" applyAlignment="1">
      <alignment horizontal="centerContinuous"/>
    </xf>
    <xf numFmtId="164" fontId="0" fillId="0" borderId="27" xfId="42" applyNumberFormat="1" applyFont="1" applyBorder="1" applyAlignment="1">
      <alignment/>
    </xf>
    <xf numFmtId="164" fontId="11" fillId="0" borderId="19" xfId="42" applyNumberFormat="1" applyFont="1" applyBorder="1" applyAlignment="1">
      <alignment horizontal="center"/>
    </xf>
    <xf numFmtId="164" fontId="11" fillId="0" borderId="20" xfId="42" applyNumberFormat="1" applyFont="1" applyBorder="1" applyAlignment="1">
      <alignment horizontal="center"/>
    </xf>
    <xf numFmtId="164" fontId="10" fillId="0" borderId="19" xfId="42" applyNumberFormat="1" applyFont="1" applyBorder="1" applyAlignment="1">
      <alignment/>
    </xf>
    <xf numFmtId="164" fontId="10" fillId="0" borderId="28" xfId="42" applyNumberFormat="1" applyFont="1" applyBorder="1" applyAlignment="1">
      <alignment/>
    </xf>
    <xf numFmtId="166" fontId="4" fillId="0" borderId="13" xfId="42" applyNumberFormat="1" applyFont="1" applyBorder="1" applyAlignment="1">
      <alignment horizontal="center"/>
    </xf>
    <xf numFmtId="165" fontId="0" fillId="0" borderId="0" xfId="0" applyNumberFormat="1" applyBorder="1" applyAlignment="1">
      <alignment/>
    </xf>
    <xf numFmtId="0" fontId="0" fillId="0" borderId="0" xfId="0" applyFont="1" applyBorder="1" applyAlignment="1">
      <alignment/>
    </xf>
    <xf numFmtId="0" fontId="4" fillId="0" borderId="0" xfId="0" applyFont="1" applyBorder="1" applyAlignment="1">
      <alignment horizontal="centerContinuous"/>
    </xf>
    <xf numFmtId="9" fontId="0" fillId="0" borderId="0" xfId="57" applyFont="1" applyBorder="1" applyAlignment="1">
      <alignment/>
    </xf>
    <xf numFmtId="43" fontId="0" fillId="0" borderId="0" xfId="0" applyNumberFormat="1" applyBorder="1" applyAlignment="1">
      <alignment/>
    </xf>
    <xf numFmtId="0" fontId="0" fillId="34" borderId="0" xfId="0" applyFill="1" applyBorder="1" applyAlignment="1">
      <alignment/>
    </xf>
    <xf numFmtId="164" fontId="0" fillId="34" borderId="0" xfId="42" applyNumberFormat="1" applyFont="1" applyFill="1" applyBorder="1" applyAlignment="1">
      <alignment/>
    </xf>
    <xf numFmtId="164" fontId="8" fillId="34" borderId="0" xfId="42" applyNumberFormat="1" applyFont="1" applyFill="1" applyBorder="1" applyAlignment="1">
      <alignment/>
    </xf>
    <xf numFmtId="0" fontId="0" fillId="34" borderId="0" xfId="0" applyFill="1" applyBorder="1" applyAlignment="1">
      <alignment horizontal="left"/>
    </xf>
    <xf numFmtId="164" fontId="8" fillId="34" borderId="0" xfId="0" applyNumberFormat="1" applyFont="1" applyFill="1" applyBorder="1" applyAlignment="1">
      <alignment/>
    </xf>
    <xf numFmtId="9" fontId="4" fillId="0" borderId="12" xfId="57" applyFont="1" applyBorder="1" applyAlignment="1">
      <alignment/>
    </xf>
    <xf numFmtId="164" fontId="0" fillId="0" borderId="15" xfId="42" applyNumberFormat="1" applyFont="1" applyFill="1" applyBorder="1" applyAlignment="1">
      <alignment/>
    </xf>
    <xf numFmtId="166" fontId="5" fillId="0" borderId="0" xfId="42" applyNumberFormat="1" applyFont="1" applyAlignment="1">
      <alignment horizontal="center"/>
    </xf>
    <xf numFmtId="166" fontId="0" fillId="0" borderId="25" xfId="44" applyNumberFormat="1" applyFont="1" applyBorder="1" applyAlignment="1">
      <alignment/>
    </xf>
    <xf numFmtId="166" fontId="4" fillId="0" borderId="10" xfId="42" applyNumberFormat="1" applyFont="1" applyBorder="1" applyAlignment="1">
      <alignment horizontal="centerContinuous"/>
    </xf>
    <xf numFmtId="166" fontId="4" fillId="0" borderId="11" xfId="42" applyNumberFormat="1" applyFont="1" applyBorder="1" applyAlignment="1">
      <alignment horizontal="centerContinuous"/>
    </xf>
    <xf numFmtId="166" fontId="0" fillId="0" borderId="18" xfId="42" applyNumberFormat="1" applyFont="1" applyBorder="1" applyAlignment="1">
      <alignment/>
    </xf>
    <xf numFmtId="166" fontId="0" fillId="0" borderId="17" xfId="42" applyNumberFormat="1" applyFont="1" applyBorder="1" applyAlignment="1">
      <alignment/>
    </xf>
    <xf numFmtId="166" fontId="4" fillId="0" borderId="21" xfId="42" applyNumberFormat="1" applyFont="1" applyBorder="1" applyAlignment="1">
      <alignment horizontal="center"/>
    </xf>
    <xf numFmtId="166" fontId="0" fillId="0" borderId="0" xfId="0" applyNumberFormat="1" applyAlignment="1">
      <alignment/>
    </xf>
    <xf numFmtId="166" fontId="0" fillId="0" borderId="12" xfId="0" applyNumberFormat="1" applyBorder="1" applyAlignment="1">
      <alignment/>
    </xf>
    <xf numFmtId="166" fontId="4" fillId="0" borderId="24" xfId="42" applyNumberFormat="1" applyFont="1" applyBorder="1" applyAlignment="1">
      <alignment horizontal="center"/>
    </xf>
    <xf numFmtId="166" fontId="0" fillId="0" borderId="24" xfId="0" applyNumberFormat="1" applyBorder="1" applyAlignment="1">
      <alignment/>
    </xf>
    <xf numFmtId="166" fontId="4" fillId="0" borderId="15" xfId="42" applyNumberFormat="1" applyFont="1" applyBorder="1" applyAlignment="1">
      <alignment horizontal="center"/>
    </xf>
    <xf numFmtId="166" fontId="4" fillId="0" borderId="0" xfId="44" applyNumberFormat="1" applyFont="1" applyBorder="1" applyAlignment="1">
      <alignment horizontal="center"/>
    </xf>
    <xf numFmtId="166" fontId="4" fillId="0" borderId="15" xfId="44" applyNumberFormat="1" applyFont="1" applyBorder="1" applyAlignment="1">
      <alignment horizontal="center"/>
    </xf>
    <xf numFmtId="166" fontId="4" fillId="0" borderId="0" xfId="0" applyNumberFormat="1" applyFont="1" applyBorder="1" applyAlignment="1">
      <alignment horizontal="center"/>
    </xf>
    <xf numFmtId="166" fontId="4" fillId="0" borderId="19" xfId="42" applyNumberFormat="1" applyFont="1" applyBorder="1" applyAlignment="1">
      <alignment horizontal="center"/>
    </xf>
    <xf numFmtId="166" fontId="4" fillId="0" borderId="16" xfId="42" applyNumberFormat="1" applyFont="1" applyBorder="1" applyAlignment="1">
      <alignment/>
    </xf>
    <xf numFmtId="166" fontId="4" fillId="0" borderId="16" xfId="42" applyNumberFormat="1" applyFont="1" applyBorder="1" applyAlignment="1">
      <alignment horizontal="center"/>
    </xf>
    <xf numFmtId="166" fontId="4" fillId="0" borderId="20" xfId="42" applyNumberFormat="1" applyFont="1" applyBorder="1" applyAlignment="1">
      <alignment horizontal="center"/>
    </xf>
    <xf numFmtId="166" fontId="0" fillId="0" borderId="21" xfId="42" applyNumberFormat="1" applyFont="1" applyBorder="1" applyAlignment="1">
      <alignment/>
    </xf>
    <xf numFmtId="166" fontId="0" fillId="0" borderId="22" xfId="42" applyNumberFormat="1" applyFont="1" applyBorder="1" applyAlignment="1">
      <alignment/>
    </xf>
    <xf numFmtId="166" fontId="0" fillId="0" borderId="23" xfId="42" applyNumberFormat="1" applyFont="1" applyBorder="1" applyAlignment="1">
      <alignment/>
    </xf>
    <xf numFmtId="166" fontId="0" fillId="0" borderId="24" xfId="42" applyNumberFormat="1" applyFont="1" applyBorder="1" applyAlignment="1">
      <alignment/>
    </xf>
    <xf numFmtId="166" fontId="0" fillId="0" borderId="15" xfId="42" applyNumberFormat="1" applyFont="1" applyBorder="1" applyAlignment="1">
      <alignment/>
    </xf>
    <xf numFmtId="166" fontId="0" fillId="0" borderId="20" xfId="42" applyNumberFormat="1" applyFont="1" applyBorder="1" applyAlignment="1">
      <alignment/>
    </xf>
    <xf numFmtId="166" fontId="0" fillId="0" borderId="26" xfId="44" applyNumberFormat="1" applyFont="1" applyBorder="1" applyAlignment="1">
      <alignment/>
    </xf>
    <xf numFmtId="166" fontId="0" fillId="0" borderId="27" xfId="44" applyNumberFormat="1" applyFont="1" applyBorder="1" applyAlignment="1">
      <alignment/>
    </xf>
    <xf numFmtId="166" fontId="0" fillId="0" borderId="25" xfId="42" applyNumberFormat="1" applyFont="1" applyBorder="1" applyAlignment="1">
      <alignment/>
    </xf>
    <xf numFmtId="166" fontId="0" fillId="0" borderId="28" xfId="44" applyNumberFormat="1" applyFont="1" applyBorder="1" applyAlignment="1">
      <alignment/>
    </xf>
    <xf numFmtId="164" fontId="4" fillId="0" borderId="15" xfId="42" applyNumberFormat="1" applyFont="1" applyBorder="1" applyAlignment="1">
      <alignment horizontal="left"/>
    </xf>
    <xf numFmtId="165" fontId="0" fillId="0" borderId="0" xfId="57" applyNumberFormat="1" applyFont="1" applyFill="1" applyBorder="1" applyAlignment="1">
      <alignment/>
    </xf>
    <xf numFmtId="164" fontId="0" fillId="0" borderId="11" xfId="42" applyNumberFormat="1" applyFont="1" applyBorder="1" applyAlignment="1">
      <alignment/>
    </xf>
    <xf numFmtId="165" fontId="0" fillId="0" borderId="24" xfId="57" applyNumberFormat="1" applyFont="1" applyBorder="1" applyAlignment="1">
      <alignment/>
    </xf>
    <xf numFmtId="165" fontId="0" fillId="0" borderId="19" xfId="57" applyNumberFormat="1" applyFont="1" applyBorder="1" applyAlignment="1">
      <alignment/>
    </xf>
    <xf numFmtId="165" fontId="0" fillId="0" borderId="28" xfId="57" applyNumberFormat="1" applyFont="1" applyBorder="1" applyAlignment="1">
      <alignment/>
    </xf>
    <xf numFmtId="166" fontId="0" fillId="0" borderId="28" xfId="42" applyNumberFormat="1" applyFont="1" applyBorder="1" applyAlignment="1">
      <alignment/>
    </xf>
    <xf numFmtId="164" fontId="1" fillId="0" borderId="0" xfId="42" applyNumberFormat="1" applyFont="1" applyAlignment="1">
      <alignment horizontal="center"/>
    </xf>
    <xf numFmtId="164" fontId="1" fillId="0" borderId="13" xfId="42" applyNumberFormat="1" applyFont="1" applyBorder="1" applyAlignment="1">
      <alignment horizontal="center"/>
    </xf>
    <xf numFmtId="164" fontId="1" fillId="0" borderId="22" xfId="0" applyNumberFormat="1" applyFont="1" applyBorder="1" applyAlignment="1">
      <alignment horizontal="center"/>
    </xf>
    <xf numFmtId="164" fontId="1" fillId="0" borderId="0" xfId="0" applyNumberFormat="1" applyFont="1" applyBorder="1" applyAlignment="1">
      <alignment horizontal="center"/>
    </xf>
    <xf numFmtId="0" fontId="1" fillId="0" borderId="0" xfId="0" applyFont="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166" fontId="0" fillId="0" borderId="0" xfId="42"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tabSelected="1" zoomScalePageLayoutView="0" workbookViewId="0" topLeftCell="A1">
      <selection activeCell="A1" sqref="A1"/>
    </sheetView>
  </sheetViews>
  <sheetFormatPr defaultColWidth="9.140625" defaultRowHeight="12.75"/>
  <cols>
    <col min="1" max="1" width="78.7109375" style="0" customWidth="1"/>
  </cols>
  <sheetData>
    <row r="1" ht="12.75">
      <c r="A1" s="116" t="s">
        <v>125</v>
      </c>
    </row>
    <row r="3" ht="38.25">
      <c r="A3" s="118" t="s">
        <v>92</v>
      </c>
    </row>
    <row r="5" ht="12.75">
      <c r="A5" s="120" t="s">
        <v>93</v>
      </c>
    </row>
    <row r="7" ht="28.5" customHeight="1">
      <c r="A7" s="119" t="s">
        <v>159</v>
      </c>
    </row>
    <row r="9" ht="140.25">
      <c r="A9" s="119" t="s">
        <v>168</v>
      </c>
    </row>
    <row r="11" ht="51">
      <c r="A11" s="121" t="s">
        <v>167</v>
      </c>
    </row>
    <row r="13" ht="51">
      <c r="A13" s="118" t="s">
        <v>169</v>
      </c>
    </row>
    <row r="15" ht="25.5">
      <c r="A15" s="119" t="s">
        <v>170</v>
      </c>
    </row>
    <row r="17" ht="25.5">
      <c r="A17" s="119" t="s">
        <v>171</v>
      </c>
    </row>
    <row r="19" ht="102">
      <c r="A19" s="119" t="s">
        <v>124</v>
      </c>
    </row>
    <row r="21" ht="25.5">
      <c r="A21" s="119" t="s">
        <v>121</v>
      </c>
    </row>
    <row r="23" ht="38.25">
      <c r="A23" s="119" t="s">
        <v>172</v>
      </c>
    </row>
    <row r="25" ht="12.75">
      <c r="A25" s="120" t="s">
        <v>102</v>
      </c>
    </row>
    <row r="27" ht="38.25">
      <c r="A27" s="119" t="s">
        <v>103</v>
      </c>
    </row>
    <row r="29" ht="25.5">
      <c r="A29" s="119" t="s">
        <v>95</v>
      </c>
    </row>
  </sheetData>
  <sheetProtection/>
  <printOptions/>
  <pageMargins left="0.75" right="0.75" top="1" bottom="1" header="0.5" footer="0.5"/>
  <pageSetup horizontalDpi="600" verticalDpi="600" orientation="portrait" r:id="rId1"/>
  <headerFooter alignWithMargins="0">
    <oddFooter>&amp;L&amp;8&amp;D
&amp;F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4:O30"/>
  <sheetViews>
    <sheetView zoomScalePageLayoutView="0" workbookViewId="0" topLeftCell="D1">
      <selection activeCell="B20" sqref="B20"/>
    </sheetView>
  </sheetViews>
  <sheetFormatPr defaultColWidth="8.8515625" defaultRowHeight="12.75"/>
  <cols>
    <col min="1" max="1" width="3.8515625" style="1" customWidth="1"/>
    <col min="2" max="2" width="20.28125" style="1" customWidth="1"/>
    <col min="3" max="3" width="11.421875" style="1" bestFit="1" customWidth="1"/>
    <col min="4" max="4" width="9.8515625" style="1" customWidth="1"/>
    <col min="5" max="6" width="11.421875" style="1" bestFit="1" customWidth="1"/>
    <col min="7" max="7" width="9.8515625" style="1" customWidth="1"/>
    <col min="8" max="8" width="11.421875" style="1" bestFit="1" customWidth="1"/>
    <col min="9" max="9" width="11.421875" style="1" customWidth="1"/>
    <col min="10" max="10" width="11.421875" style="1" bestFit="1" customWidth="1"/>
    <col min="11" max="11" width="8.8515625" style="1" customWidth="1"/>
    <col min="12" max="12" width="1.1484375" style="1" customWidth="1"/>
    <col min="13" max="13" width="9.421875" style="1" bestFit="1" customWidth="1"/>
    <col min="14" max="14" width="1.28515625" style="1" customWidth="1"/>
    <col min="15" max="15" width="11.28125" style="1" customWidth="1"/>
    <col min="16" max="16384" width="8.8515625" style="1" customWidth="1"/>
  </cols>
  <sheetData>
    <row r="1" ht="12.75"/>
    <row r="2" ht="12.75"/>
    <row r="3" ht="12.75"/>
    <row r="4" ht="12.75">
      <c r="F4" s="124"/>
    </row>
    <row r="5" spans="3:13" ht="12.75">
      <c r="C5" s="124"/>
      <c r="F5" s="124"/>
      <c r="M5" s="124"/>
    </row>
    <row r="6" spans="2:15" ht="13.5" thickBot="1">
      <c r="B6" s="49"/>
      <c r="C6" s="4" t="s">
        <v>164</v>
      </c>
      <c r="D6" s="36"/>
      <c r="E6" s="37"/>
      <c r="F6" s="4" t="s">
        <v>101</v>
      </c>
      <c r="G6" s="36"/>
      <c r="H6" s="37"/>
      <c r="I6" s="3" t="s">
        <v>165</v>
      </c>
      <c r="J6" s="36"/>
      <c r="K6" s="37"/>
      <c r="L6" s="56"/>
      <c r="M6" s="90"/>
      <c r="N6" s="56"/>
      <c r="O6" s="90"/>
    </row>
    <row r="7" spans="2:15" ht="13.5" thickTop="1">
      <c r="B7" s="49"/>
      <c r="C7" s="33"/>
      <c r="D7" s="34"/>
      <c r="E7" s="35"/>
      <c r="F7" s="33"/>
      <c r="G7" s="45"/>
      <c r="H7" s="88"/>
      <c r="I7" s="47"/>
      <c r="J7" s="48"/>
      <c r="K7" s="46"/>
      <c r="L7" s="53"/>
      <c r="M7" s="92"/>
      <c r="N7" s="53"/>
      <c r="O7" s="35" t="s">
        <v>64</v>
      </c>
    </row>
    <row r="8" spans="1:15" ht="12.75">
      <c r="A8" s="2"/>
      <c r="B8" s="5"/>
      <c r="C8" s="15"/>
      <c r="D8" s="12"/>
      <c r="E8" s="14"/>
      <c r="F8" s="15"/>
      <c r="G8" s="12"/>
      <c r="H8" s="14"/>
      <c r="I8" s="15" t="s">
        <v>65</v>
      </c>
      <c r="J8" s="12" t="s">
        <v>66</v>
      </c>
      <c r="K8" s="14"/>
      <c r="L8" s="54"/>
      <c r="M8" s="91"/>
      <c r="N8" s="54"/>
      <c r="O8" s="14" t="s">
        <v>67</v>
      </c>
    </row>
    <row r="9" spans="1:15" ht="12.75">
      <c r="A9" s="7" t="s">
        <v>23</v>
      </c>
      <c r="B9" s="8"/>
      <c r="C9" s="16" t="s">
        <v>68</v>
      </c>
      <c r="D9" s="13" t="s">
        <v>69</v>
      </c>
      <c r="E9" s="84" t="s">
        <v>70</v>
      </c>
      <c r="F9" s="16" t="s">
        <v>68</v>
      </c>
      <c r="G9" s="13" t="s">
        <v>69</v>
      </c>
      <c r="H9" s="13" t="s">
        <v>70</v>
      </c>
      <c r="I9" s="16" t="s">
        <v>71</v>
      </c>
      <c r="J9" s="13" t="s">
        <v>71</v>
      </c>
      <c r="K9" s="108" t="s">
        <v>72</v>
      </c>
      <c r="L9" s="55"/>
      <c r="M9" s="39" t="s">
        <v>73</v>
      </c>
      <c r="N9" s="55"/>
      <c r="O9" s="84" t="s">
        <v>74</v>
      </c>
    </row>
    <row r="10" spans="1:15" ht="12.75">
      <c r="A10" s="58" t="s">
        <v>126</v>
      </c>
      <c r="B10" s="2" t="s">
        <v>32</v>
      </c>
      <c r="C10" s="47">
        <f>107417</f>
        <v>107417</v>
      </c>
      <c r="D10" s="48">
        <v>15717.2</v>
      </c>
      <c r="E10" s="49">
        <f>+C10-D10</f>
        <v>91699.8</v>
      </c>
      <c r="F10" s="47">
        <f>107417</f>
        <v>107417</v>
      </c>
      <c r="G10" s="48">
        <v>15717.2</v>
      </c>
      <c r="H10" s="49">
        <f>+F10-G10</f>
        <v>91699.8</v>
      </c>
      <c r="I10" s="47">
        <f>+H10+E10</f>
        <v>183399.6</v>
      </c>
      <c r="J10" s="48">
        <f aca="true" t="shared" si="0" ref="J10:J24">+I10/2</f>
        <v>91699.8</v>
      </c>
      <c r="K10" s="1">
        <f aca="true" t="shared" si="1" ref="K10:K23">+J10/1000</f>
        <v>91.6998</v>
      </c>
      <c r="L10" s="54"/>
      <c r="M10" s="49"/>
      <c r="N10" s="54"/>
      <c r="O10" s="49">
        <f>+M10+K10</f>
        <v>91.6998</v>
      </c>
    </row>
    <row r="11" spans="1:15" ht="12.75">
      <c r="A11" s="60" t="s">
        <v>127</v>
      </c>
      <c r="B11" s="2" t="s">
        <v>142</v>
      </c>
      <c r="C11" s="47">
        <v>0</v>
      </c>
      <c r="D11" s="48"/>
      <c r="E11" s="49">
        <f>+C11-D11</f>
        <v>0</v>
      </c>
      <c r="F11" s="47">
        <v>0</v>
      </c>
      <c r="G11" s="48"/>
      <c r="H11" s="49">
        <f>+F11-G11</f>
        <v>0</v>
      </c>
      <c r="I11" s="47">
        <f aca="true" t="shared" si="2" ref="I11:I25">+H11+E11</f>
        <v>0</v>
      </c>
      <c r="J11" s="48">
        <f t="shared" si="0"/>
        <v>0</v>
      </c>
      <c r="K11" s="1">
        <f t="shared" si="1"/>
        <v>0</v>
      </c>
      <c r="L11" s="54"/>
      <c r="M11" s="49"/>
      <c r="N11" s="54"/>
      <c r="O11" s="49">
        <f aca="true" t="shared" si="3" ref="O11:O25">+M11+K11</f>
        <v>0</v>
      </c>
    </row>
    <row r="12" spans="1:15" ht="12.75">
      <c r="A12" s="60" t="s">
        <v>128</v>
      </c>
      <c r="B12" s="2" t="s">
        <v>33</v>
      </c>
      <c r="C12" s="47">
        <f>171956</f>
        <v>171956</v>
      </c>
      <c r="D12" s="48">
        <v>11030</v>
      </c>
      <c r="E12" s="49">
        <f>+C12-D12</f>
        <v>160926</v>
      </c>
      <c r="F12" s="47">
        <f>171956</f>
        <v>171956</v>
      </c>
      <c r="G12" s="48">
        <v>11030</v>
      </c>
      <c r="H12" s="49">
        <f>+F12-G12</f>
        <v>160926</v>
      </c>
      <c r="I12" s="47">
        <f t="shared" si="2"/>
        <v>321852</v>
      </c>
      <c r="J12" s="48">
        <f t="shared" si="0"/>
        <v>160926</v>
      </c>
      <c r="K12" s="1">
        <f t="shared" si="1"/>
        <v>160.926</v>
      </c>
      <c r="L12" s="54"/>
      <c r="M12" s="49"/>
      <c r="N12" s="54"/>
      <c r="O12" s="49">
        <f t="shared" si="3"/>
        <v>160.926</v>
      </c>
    </row>
    <row r="13" spans="1:15" ht="12.75">
      <c r="A13" s="60" t="s">
        <v>129</v>
      </c>
      <c r="B13" s="2" t="s">
        <v>34</v>
      </c>
      <c r="C13" s="47">
        <f>2188</f>
        <v>2188</v>
      </c>
      <c r="D13" s="48"/>
      <c r="E13" s="49">
        <f>+C13-D13</f>
        <v>2188</v>
      </c>
      <c r="F13" s="47">
        <f>2188</f>
        <v>2188</v>
      </c>
      <c r="G13" s="48"/>
      <c r="H13" s="49">
        <f>+F13-G13</f>
        <v>2188</v>
      </c>
      <c r="I13" s="47">
        <f t="shared" si="2"/>
        <v>4376</v>
      </c>
      <c r="J13" s="48">
        <f t="shared" si="0"/>
        <v>2188</v>
      </c>
      <c r="K13" s="1">
        <f t="shared" si="1"/>
        <v>2.188</v>
      </c>
      <c r="L13" s="54"/>
      <c r="M13" s="49"/>
      <c r="N13" s="54"/>
      <c r="O13" s="49">
        <f t="shared" si="3"/>
        <v>2.188</v>
      </c>
    </row>
    <row r="14" spans="1:15" ht="12.75">
      <c r="A14" s="60" t="s">
        <v>130</v>
      </c>
      <c r="B14" s="2" t="s">
        <v>35</v>
      </c>
      <c r="C14" s="47">
        <f>1057</f>
        <v>1057</v>
      </c>
      <c r="D14" s="48"/>
      <c r="E14" s="49">
        <f>+C14-D14</f>
        <v>1057</v>
      </c>
      <c r="F14" s="47">
        <f>1057</f>
        <v>1057</v>
      </c>
      <c r="G14" s="48"/>
      <c r="H14" s="49">
        <f>+F14-G14</f>
        <v>1057</v>
      </c>
      <c r="I14" s="47">
        <f t="shared" si="2"/>
        <v>2114</v>
      </c>
      <c r="J14" s="48">
        <f t="shared" si="0"/>
        <v>1057</v>
      </c>
      <c r="K14" s="1">
        <f t="shared" si="1"/>
        <v>1.057</v>
      </c>
      <c r="L14" s="54"/>
      <c r="M14" s="49"/>
      <c r="N14" s="54"/>
      <c r="O14" s="49">
        <f t="shared" si="3"/>
        <v>1.057</v>
      </c>
    </row>
    <row r="15" spans="1:15" ht="12.75">
      <c r="A15" s="60" t="s">
        <v>131</v>
      </c>
      <c r="B15" s="2" t="s">
        <v>36</v>
      </c>
      <c r="C15" s="47"/>
      <c r="D15" s="48"/>
      <c r="E15" s="49"/>
      <c r="F15" s="47"/>
      <c r="G15" s="48"/>
      <c r="H15" s="49"/>
      <c r="I15" s="47">
        <f t="shared" si="2"/>
        <v>0</v>
      </c>
      <c r="J15" s="48">
        <f t="shared" si="0"/>
        <v>0</v>
      </c>
      <c r="K15" s="1">
        <f t="shared" si="1"/>
        <v>0</v>
      </c>
      <c r="L15" s="54"/>
      <c r="M15" s="49"/>
      <c r="N15" s="54"/>
      <c r="O15" s="49">
        <f t="shared" si="3"/>
        <v>0</v>
      </c>
    </row>
    <row r="16" spans="1:15" ht="12.75">
      <c r="A16" s="60" t="s">
        <v>132</v>
      </c>
      <c r="B16" s="2" t="s">
        <v>37</v>
      </c>
      <c r="C16" s="47"/>
      <c r="D16" s="48"/>
      <c r="E16" s="49"/>
      <c r="F16" s="47"/>
      <c r="G16" s="48"/>
      <c r="H16" s="49"/>
      <c r="I16" s="47">
        <f t="shared" si="2"/>
        <v>0</v>
      </c>
      <c r="J16" s="48">
        <f t="shared" si="0"/>
        <v>0</v>
      </c>
      <c r="K16" s="1">
        <f t="shared" si="1"/>
        <v>0</v>
      </c>
      <c r="L16" s="54"/>
      <c r="M16" s="49"/>
      <c r="N16" s="54"/>
      <c r="O16" s="49">
        <f t="shared" si="3"/>
        <v>0</v>
      </c>
    </row>
    <row r="17" spans="1:15" ht="12.75">
      <c r="A17" s="60" t="s">
        <v>133</v>
      </c>
      <c r="B17" s="2" t="s">
        <v>38</v>
      </c>
      <c r="C17" s="47">
        <f>17636</f>
        <v>17636</v>
      </c>
      <c r="D17" s="48">
        <v>1840</v>
      </c>
      <c r="E17" s="49">
        <f>+C17-D17</f>
        <v>15796</v>
      </c>
      <c r="F17" s="47">
        <f>17636</f>
        <v>17636</v>
      </c>
      <c r="G17" s="48">
        <v>1840</v>
      </c>
      <c r="H17" s="49">
        <f>+F17-G17</f>
        <v>15796</v>
      </c>
      <c r="I17" s="47">
        <f t="shared" si="2"/>
        <v>31592</v>
      </c>
      <c r="J17" s="48">
        <f t="shared" si="0"/>
        <v>15796</v>
      </c>
      <c r="K17" s="1">
        <f t="shared" si="1"/>
        <v>15.796</v>
      </c>
      <c r="L17" s="54"/>
      <c r="M17" s="49"/>
      <c r="N17" s="54"/>
      <c r="O17" s="49">
        <f t="shared" si="3"/>
        <v>15.796</v>
      </c>
    </row>
    <row r="18" spans="1:15" ht="12.75">
      <c r="A18" s="60" t="s">
        <v>134</v>
      </c>
      <c r="B18" s="2" t="s">
        <v>39</v>
      </c>
      <c r="C18" s="47">
        <f>6048</f>
        <v>6048</v>
      </c>
      <c r="D18" s="48">
        <v>3408</v>
      </c>
      <c r="E18" s="49">
        <f>+C18-D18</f>
        <v>2640</v>
      </c>
      <c r="F18" s="47">
        <f>6048</f>
        <v>6048</v>
      </c>
      <c r="G18" s="48">
        <v>3408</v>
      </c>
      <c r="H18" s="49">
        <f>+F18-G18</f>
        <v>2640</v>
      </c>
      <c r="I18" s="47">
        <f t="shared" si="2"/>
        <v>5280</v>
      </c>
      <c r="J18" s="48">
        <f t="shared" si="0"/>
        <v>2640</v>
      </c>
      <c r="K18" s="1">
        <f t="shared" si="1"/>
        <v>2.64</v>
      </c>
      <c r="L18" s="54"/>
      <c r="M18" s="49"/>
      <c r="N18" s="54"/>
      <c r="O18" s="49">
        <f t="shared" si="3"/>
        <v>2.64</v>
      </c>
    </row>
    <row r="19" spans="1:15" ht="12.75">
      <c r="A19" s="60" t="s">
        <v>135</v>
      </c>
      <c r="B19" s="2" t="s">
        <v>40</v>
      </c>
      <c r="C19" s="47"/>
      <c r="D19" s="48"/>
      <c r="E19" s="49"/>
      <c r="F19" s="47"/>
      <c r="G19" s="48"/>
      <c r="H19" s="49"/>
      <c r="I19" s="47">
        <f t="shared" si="2"/>
        <v>0</v>
      </c>
      <c r="J19" s="48">
        <f t="shared" si="0"/>
        <v>0</v>
      </c>
      <c r="K19" s="1">
        <f t="shared" si="1"/>
        <v>0</v>
      </c>
      <c r="L19" s="54"/>
      <c r="M19" s="49"/>
      <c r="N19" s="54"/>
      <c r="O19" s="49">
        <f t="shared" si="3"/>
        <v>0</v>
      </c>
    </row>
    <row r="20" spans="1:15" ht="12.75">
      <c r="A20" s="60" t="s">
        <v>136</v>
      </c>
      <c r="B20" s="2" t="s">
        <v>41</v>
      </c>
      <c r="C20" s="47"/>
      <c r="D20" s="48"/>
      <c r="E20" s="49"/>
      <c r="F20" s="47"/>
      <c r="G20" s="48"/>
      <c r="H20" s="49"/>
      <c r="I20" s="47">
        <f t="shared" si="2"/>
        <v>0</v>
      </c>
      <c r="J20" s="48">
        <f t="shared" si="0"/>
        <v>0</v>
      </c>
      <c r="K20" s="1">
        <f t="shared" si="1"/>
        <v>0</v>
      </c>
      <c r="L20" s="54"/>
      <c r="M20" s="49"/>
      <c r="N20" s="54"/>
      <c r="O20" s="49">
        <f t="shared" si="3"/>
        <v>0</v>
      </c>
    </row>
    <row r="21" spans="1:15" ht="12.75">
      <c r="A21" s="60" t="s">
        <v>137</v>
      </c>
      <c r="B21" s="2" t="s">
        <v>42</v>
      </c>
      <c r="C21" s="47"/>
      <c r="D21" s="48"/>
      <c r="E21" s="49"/>
      <c r="F21" s="47"/>
      <c r="G21" s="48"/>
      <c r="H21" s="49"/>
      <c r="I21" s="47">
        <f t="shared" si="2"/>
        <v>0</v>
      </c>
      <c r="J21" s="48">
        <f t="shared" si="0"/>
        <v>0</v>
      </c>
      <c r="K21" s="1">
        <f t="shared" si="1"/>
        <v>0</v>
      </c>
      <c r="L21" s="54"/>
      <c r="M21" s="49"/>
      <c r="N21" s="54"/>
      <c r="O21" s="49">
        <f t="shared" si="3"/>
        <v>0</v>
      </c>
    </row>
    <row r="22" spans="1:15" ht="12.75">
      <c r="A22" s="60" t="s">
        <v>138</v>
      </c>
      <c r="B22" s="2" t="s">
        <v>43</v>
      </c>
      <c r="C22" s="47">
        <f>2736</f>
        <v>2736</v>
      </c>
      <c r="D22" s="48"/>
      <c r="E22" s="49">
        <f>+C22-D22</f>
        <v>2736</v>
      </c>
      <c r="F22" s="47">
        <f>2736</f>
        <v>2736</v>
      </c>
      <c r="G22" s="48"/>
      <c r="H22" s="49">
        <f>+F22-G22</f>
        <v>2736</v>
      </c>
      <c r="I22" s="47">
        <f t="shared" si="2"/>
        <v>5472</v>
      </c>
      <c r="J22" s="48">
        <f t="shared" si="0"/>
        <v>2736</v>
      </c>
      <c r="K22" s="1">
        <f t="shared" si="1"/>
        <v>2.736</v>
      </c>
      <c r="L22" s="54"/>
      <c r="M22" s="49"/>
      <c r="N22" s="54"/>
      <c r="O22" s="49">
        <f t="shared" si="3"/>
        <v>2.736</v>
      </c>
    </row>
    <row r="23" spans="1:15" ht="12.75">
      <c r="A23" s="60" t="s">
        <v>139</v>
      </c>
      <c r="B23" s="2" t="s">
        <v>44</v>
      </c>
      <c r="C23" s="47">
        <f>16150</f>
        <v>16150</v>
      </c>
      <c r="D23" s="48"/>
      <c r="E23" s="49">
        <f>+C23-D23</f>
        <v>16150</v>
      </c>
      <c r="F23" s="47">
        <f>16150</f>
        <v>16150</v>
      </c>
      <c r="G23" s="48"/>
      <c r="H23" s="49">
        <f>+F23-G23</f>
        <v>16150</v>
      </c>
      <c r="I23" s="47">
        <f t="shared" si="2"/>
        <v>32300</v>
      </c>
      <c r="J23" s="48">
        <f t="shared" si="0"/>
        <v>16150</v>
      </c>
      <c r="K23" s="1">
        <f t="shared" si="1"/>
        <v>16.15</v>
      </c>
      <c r="L23" s="54"/>
      <c r="M23" s="49"/>
      <c r="N23" s="54"/>
      <c r="O23" s="49">
        <f t="shared" si="3"/>
        <v>16.15</v>
      </c>
    </row>
    <row r="24" spans="1:15" ht="12.75">
      <c r="A24" s="270" t="s">
        <v>140</v>
      </c>
      <c r="B24" s="2" t="s">
        <v>45</v>
      </c>
      <c r="C24" s="47"/>
      <c r="D24" s="48"/>
      <c r="E24" s="49"/>
      <c r="F24" s="47"/>
      <c r="G24" s="48"/>
      <c r="H24" s="49"/>
      <c r="I24" s="47">
        <f t="shared" si="2"/>
        <v>0</v>
      </c>
      <c r="J24" s="48">
        <f t="shared" si="0"/>
        <v>0</v>
      </c>
      <c r="K24" s="1">
        <f>73+56+32</f>
        <v>161</v>
      </c>
      <c r="L24" s="54"/>
      <c r="M24" s="49">
        <f>694.7*1.07</f>
        <v>743.3290000000001</v>
      </c>
      <c r="N24" s="54"/>
      <c r="O24" s="49">
        <f t="shared" si="3"/>
        <v>904.3290000000001</v>
      </c>
    </row>
    <row r="25" spans="1:15" ht="12.75">
      <c r="A25" s="60" t="s">
        <v>141</v>
      </c>
      <c r="B25" s="2" t="s">
        <v>46</v>
      </c>
      <c r="C25" s="240">
        <f>1388907+13848</f>
        <v>1402755</v>
      </c>
      <c r="D25" s="48"/>
      <c r="E25" s="49">
        <f>+C25-D25</f>
        <v>1402755</v>
      </c>
      <c r="F25" s="47">
        <v>13848</v>
      </c>
      <c r="G25" s="48"/>
      <c r="H25" s="49">
        <f>+F25-G25</f>
        <v>13848</v>
      </c>
      <c r="I25" s="47">
        <f t="shared" si="2"/>
        <v>1416603</v>
      </c>
      <c r="J25" s="47">
        <f>1647871+(13848)/2+(13848)/2</f>
        <v>1661719</v>
      </c>
      <c r="K25" s="1">
        <f>+J25/1000</f>
        <v>1661.719</v>
      </c>
      <c r="L25" s="54"/>
      <c r="M25" s="49"/>
      <c r="N25" s="54"/>
      <c r="O25" s="49">
        <f t="shared" si="3"/>
        <v>1661.719</v>
      </c>
    </row>
    <row r="26" spans="1:15" ht="12.75">
      <c r="A26" s="2"/>
      <c r="B26" s="2"/>
      <c r="C26" s="50">
        <f>SUM(C10:C25)</f>
        <v>1727943</v>
      </c>
      <c r="D26" s="51">
        <f aca="true" t="shared" si="4" ref="D26:K26">SUM(D10:D25)</f>
        <v>31995.2</v>
      </c>
      <c r="E26" s="52">
        <f t="shared" si="4"/>
        <v>1695947.8</v>
      </c>
      <c r="F26" s="50">
        <f>SUM(F10:F25)</f>
        <v>339036</v>
      </c>
      <c r="G26" s="51">
        <f>SUM(G10:G25)</f>
        <v>31995.2</v>
      </c>
      <c r="H26" s="52">
        <f>SUM(H10:H25)</f>
        <v>307040.8</v>
      </c>
      <c r="I26" s="50">
        <f t="shared" si="4"/>
        <v>2002988.6</v>
      </c>
      <c r="J26" s="51">
        <f t="shared" si="4"/>
        <v>1954911.8</v>
      </c>
      <c r="K26" s="52">
        <f t="shared" si="4"/>
        <v>2115.9118</v>
      </c>
      <c r="L26" s="89"/>
      <c r="M26" s="57">
        <f>+M24</f>
        <v>743.3290000000001</v>
      </c>
      <c r="N26" s="89"/>
      <c r="O26" s="52">
        <f>SUM(O10:O25)</f>
        <v>2859.2408</v>
      </c>
    </row>
    <row r="27" spans="1:7" ht="12.75">
      <c r="A27" s="2" t="s">
        <v>47</v>
      </c>
      <c r="G27" s="17"/>
    </row>
    <row r="28" spans="5:11" ht="12.75">
      <c r="E28" s="48"/>
      <c r="F28" s="48"/>
      <c r="H28" s="48"/>
      <c r="I28" s="48"/>
      <c r="K28" s="112"/>
    </row>
    <row r="29" spans="3:6" ht="12.75">
      <c r="C29" s="48"/>
      <c r="E29" s="48"/>
      <c r="F29" s="48"/>
    </row>
    <row r="30" ht="12.75">
      <c r="A30" s="1" t="s">
        <v>166</v>
      </c>
    </row>
    <row r="31" ht="12.75"/>
    <row r="32" ht="12.75"/>
    <row r="33" ht="12.75"/>
  </sheetData>
  <sheetProtection/>
  <printOptions/>
  <pageMargins left="0.75" right="0.75" top="1" bottom="1" header="0.5" footer="0.5"/>
  <pageSetup fitToHeight="1" fitToWidth="1" horizontalDpi="600" verticalDpi="600" orientation="landscape" scale="85" r:id="rId3"/>
  <headerFooter alignWithMargins="0">
    <oddFooter>&amp;L&amp;8&amp;D
&amp;F
&amp;A</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6:AB27"/>
  <sheetViews>
    <sheetView zoomScalePageLayoutView="0" workbookViewId="0" topLeftCell="A1">
      <selection activeCell="D13" sqref="D13"/>
    </sheetView>
  </sheetViews>
  <sheetFormatPr defaultColWidth="8.8515625" defaultRowHeight="12.75"/>
  <cols>
    <col min="1" max="1" width="3.7109375" style="1" customWidth="1"/>
    <col min="2" max="2" width="20.28125" style="1" customWidth="1"/>
    <col min="3" max="3" width="10.8515625" style="123" customWidth="1"/>
    <col min="4" max="4" width="11.140625" style="123" customWidth="1"/>
    <col min="5" max="5" width="9.28125" style="123" bestFit="1" customWidth="1"/>
    <col min="6" max="6" width="10.421875" style="123" customWidth="1"/>
    <col min="7" max="7" width="2.8515625" style="123" customWidth="1"/>
    <col min="8" max="8" width="10.421875" style="123" customWidth="1"/>
    <col min="9" max="9" width="11.57421875" style="123" bestFit="1" customWidth="1"/>
    <col min="10" max="10" width="2.00390625" style="123" customWidth="1"/>
    <col min="11" max="11" width="9.28125" style="123" bestFit="1" customWidth="1"/>
    <col min="12" max="12" width="8.8515625" style="123" customWidth="1"/>
    <col min="13" max="13" width="9.421875" style="123" customWidth="1"/>
    <col min="14" max="14" width="1.7109375" style="123" customWidth="1"/>
    <col min="15" max="15" width="9.28125" style="123" bestFit="1" customWidth="1"/>
    <col min="16" max="16" width="2.00390625" style="123" customWidth="1"/>
    <col min="17" max="17" width="10.7109375" style="123" bestFit="1" customWidth="1"/>
    <col min="18" max="18" width="1.421875" style="123" customWidth="1"/>
    <col min="19" max="19" width="12.8515625" style="123" customWidth="1"/>
    <col min="20" max="20" width="1.57421875" style="123" customWidth="1"/>
    <col min="21" max="21" width="8.8515625" style="123" bestFit="1" customWidth="1"/>
    <col min="22" max="22" width="11.00390625" style="123" customWidth="1"/>
    <col min="23" max="23" width="3.00390625" style="1" customWidth="1"/>
    <col min="24" max="24" width="10.8515625" style="1" bestFit="1" customWidth="1"/>
    <col min="25" max="25" width="2.8515625" style="1" customWidth="1"/>
    <col min="26" max="28" width="8.8515625" style="1" hidden="1" customWidth="1"/>
    <col min="29" max="29" width="8.8515625" style="1" customWidth="1"/>
    <col min="30" max="30" width="10.28125" style="1" bestFit="1" customWidth="1"/>
    <col min="31" max="16384" width="8.8515625" style="1" customWidth="1"/>
  </cols>
  <sheetData>
    <row r="1" ht="12.75"/>
    <row r="2" ht="12.75"/>
    <row r="3" ht="12.75"/>
    <row r="4" ht="12.75"/>
    <row r="5" ht="12.75"/>
    <row r="6" spans="1:22" ht="13.5" thickBot="1">
      <c r="A6" s="2" t="s">
        <v>7</v>
      </c>
      <c r="B6" s="2"/>
      <c r="C6" s="243" t="s">
        <v>75</v>
      </c>
      <c r="D6" s="166"/>
      <c r="E6" s="166"/>
      <c r="F6" s="166"/>
      <c r="G6" s="166"/>
      <c r="H6" s="162"/>
      <c r="I6" s="162"/>
      <c r="J6" s="160"/>
      <c r="K6" s="243" t="s">
        <v>76</v>
      </c>
      <c r="L6" s="244"/>
      <c r="M6" s="166"/>
      <c r="N6" s="162"/>
      <c r="O6" s="162"/>
      <c r="P6" s="160"/>
      <c r="Q6" s="245"/>
      <c r="R6" s="246"/>
      <c r="S6" s="160"/>
      <c r="T6" s="160"/>
      <c r="U6" s="245"/>
      <c r="V6" s="245"/>
    </row>
    <row r="7" spans="1:26" ht="13.5" thickTop="1">
      <c r="A7" s="2"/>
      <c r="B7" s="6"/>
      <c r="C7" s="247" t="s">
        <v>77</v>
      </c>
      <c r="D7" s="167"/>
      <c r="E7" s="248"/>
      <c r="F7" s="248"/>
      <c r="G7" s="248"/>
      <c r="H7" s="167"/>
      <c r="I7" s="249"/>
      <c r="J7" s="161"/>
      <c r="K7" s="247" t="s">
        <v>16</v>
      </c>
      <c r="L7" s="167"/>
      <c r="M7" s="167" t="s">
        <v>78</v>
      </c>
      <c r="N7" s="167"/>
      <c r="O7" s="163"/>
      <c r="P7" s="161"/>
      <c r="Q7" s="250" t="s">
        <v>79</v>
      </c>
      <c r="R7" s="250"/>
      <c r="S7" s="250" t="s">
        <v>179</v>
      </c>
      <c r="T7" s="250"/>
      <c r="U7" s="250"/>
      <c r="V7" s="251"/>
      <c r="X7" s="125" t="s">
        <v>107</v>
      </c>
      <c r="Z7" s="53" t="s">
        <v>97</v>
      </c>
    </row>
    <row r="8" spans="1:26" ht="12.75">
      <c r="A8" s="2"/>
      <c r="B8" s="6"/>
      <c r="C8" s="252" t="s">
        <v>80</v>
      </c>
      <c r="D8" s="168" t="s">
        <v>81</v>
      </c>
      <c r="E8" s="168" t="s">
        <v>82</v>
      </c>
      <c r="F8" s="168" t="s">
        <v>83</v>
      </c>
      <c r="G8" s="168"/>
      <c r="H8" s="253" t="s">
        <v>5</v>
      </c>
      <c r="I8" s="164" t="s">
        <v>84</v>
      </c>
      <c r="J8" s="129"/>
      <c r="K8" s="254" t="s">
        <v>48</v>
      </c>
      <c r="L8" s="253" t="s">
        <v>5</v>
      </c>
      <c r="M8" s="255" t="s">
        <v>85</v>
      </c>
      <c r="N8" s="168"/>
      <c r="O8" s="164" t="s">
        <v>25</v>
      </c>
      <c r="P8" s="129"/>
      <c r="Q8" s="256" t="s">
        <v>86</v>
      </c>
      <c r="R8" s="256"/>
      <c r="S8" s="256" t="s">
        <v>180</v>
      </c>
      <c r="T8" s="256"/>
      <c r="U8" s="256" t="s">
        <v>120</v>
      </c>
      <c r="V8" s="256" t="s">
        <v>25</v>
      </c>
      <c r="X8" s="126" t="s">
        <v>25</v>
      </c>
      <c r="Z8" s="54" t="s">
        <v>98</v>
      </c>
    </row>
    <row r="9" spans="1:26" ht="12.75">
      <c r="A9" s="7" t="s">
        <v>23</v>
      </c>
      <c r="B9" s="7"/>
      <c r="C9" s="257" t="s">
        <v>87</v>
      </c>
      <c r="D9" s="228" t="s">
        <v>116</v>
      </c>
      <c r="E9" s="168" t="s">
        <v>22</v>
      </c>
      <c r="F9" s="168" t="s">
        <v>21</v>
      </c>
      <c r="G9" s="168"/>
      <c r="H9" s="228" t="s">
        <v>61</v>
      </c>
      <c r="I9" s="164" t="s">
        <v>24</v>
      </c>
      <c r="J9" s="133"/>
      <c r="K9" s="258" t="s">
        <v>24</v>
      </c>
      <c r="L9" s="228" t="s">
        <v>61</v>
      </c>
      <c r="M9" s="228" t="s">
        <v>88</v>
      </c>
      <c r="N9" s="228"/>
      <c r="O9" s="165" t="s">
        <v>48</v>
      </c>
      <c r="P9" s="133"/>
      <c r="Q9" s="259" t="s">
        <v>24</v>
      </c>
      <c r="R9" s="259"/>
      <c r="S9" s="259" t="s">
        <v>89</v>
      </c>
      <c r="T9" s="259"/>
      <c r="U9" s="259" t="s">
        <v>119</v>
      </c>
      <c r="V9" s="259" t="s">
        <v>24</v>
      </c>
      <c r="X9" s="127" t="s">
        <v>24</v>
      </c>
      <c r="Z9" s="55"/>
    </row>
    <row r="10" spans="1:28" ht="12.75">
      <c r="A10" s="58" t="s">
        <v>126</v>
      </c>
      <c r="B10" s="59" t="s">
        <v>32</v>
      </c>
      <c r="C10" s="260">
        <f>+'UG Distribution'!G10</f>
        <v>4022.7555969098325</v>
      </c>
      <c r="D10" s="132">
        <f>+'UG Distribution'!J10-'UG Distribution'!L10</f>
        <v>122.4866596248302</v>
      </c>
      <c r="E10" s="261">
        <f>+'UG Distribution'!W10</f>
        <v>3364.3618355150975</v>
      </c>
      <c r="F10" s="261">
        <f>-'UG Distribution'!S10</f>
        <v>-27.371</v>
      </c>
      <c r="G10" s="261"/>
      <c r="H10" s="261">
        <f>+'UG Summer'!E10</f>
        <v>208.39891605104094</v>
      </c>
      <c r="I10" s="262">
        <f>SUM(C10:H10)</f>
        <v>7690.632008100801</v>
      </c>
      <c r="K10" s="260">
        <f>+'Grad Distribution'!K10</f>
        <v>229.68261875392852</v>
      </c>
      <c r="L10" s="261">
        <f>+'Grad Summer'!E10</f>
        <v>23.73312097187152</v>
      </c>
      <c r="M10" s="261"/>
      <c r="N10" s="261"/>
      <c r="O10" s="262">
        <f>+M10+K10+L10</f>
        <v>253.41573972580005</v>
      </c>
      <c r="Q10" s="263"/>
      <c r="R10" s="134"/>
      <c r="S10" s="132">
        <f>+Extramural!O10+6</f>
        <v>97.6998</v>
      </c>
      <c r="T10" s="263"/>
      <c r="U10" s="134"/>
      <c r="V10" s="134">
        <f>+Q10+O10+I10+S10+U10</f>
        <v>8041.7475478266015</v>
      </c>
      <c r="X10" s="134">
        <v>8064.235542231892</v>
      </c>
      <c r="Z10" s="54">
        <f>+V10-X10</f>
        <v>-22.48799440529092</v>
      </c>
      <c r="AA10" s="1">
        <f>+X10*1.044</f>
        <v>8419.061906090095</v>
      </c>
      <c r="AB10" s="1">
        <f>+V10-AA10</f>
        <v>-377.3143582634939</v>
      </c>
    </row>
    <row r="11" spans="1:28" s="123" customFormat="1" ht="12.75">
      <c r="A11" s="60" t="s">
        <v>127</v>
      </c>
      <c r="B11" s="131" t="s">
        <v>142</v>
      </c>
      <c r="C11" s="264">
        <f>+'UG Distribution'!G11</f>
        <v>6168.440926547253</v>
      </c>
      <c r="D11" s="132">
        <f>+'UG Distribution'!J11-'UG Distribution'!L11</f>
        <v>1922.4892821439225</v>
      </c>
      <c r="E11" s="132">
        <f>+'UG Distribution'!W11</f>
        <v>3790.3487583679344</v>
      </c>
      <c r="F11" s="132">
        <f>-'UG Distribution'!S11</f>
        <v>0</v>
      </c>
      <c r="G11" s="132"/>
      <c r="H11" s="132">
        <f>+'UG Summer'!E11</f>
        <v>925.0409160510408</v>
      </c>
      <c r="I11" s="159">
        <f aca="true" t="shared" si="0" ref="I11:I25">SUM(C11:H11)</f>
        <v>12806.31988311015</v>
      </c>
      <c r="K11" s="264">
        <f>+'Grad Distribution'!K11</f>
        <v>27.19201507528334</v>
      </c>
      <c r="L11" s="132">
        <f>+'Grad Summer'!E11</f>
        <v>32.561697155368776</v>
      </c>
      <c r="M11" s="132">
        <f>+'Grad Distribution'!M11</f>
        <v>12906.1</v>
      </c>
      <c r="N11" s="132"/>
      <c r="O11" s="159">
        <f aca="true" t="shared" si="1" ref="O11:O25">+M11+K11+L11</f>
        <v>12965.853712230652</v>
      </c>
      <c r="Q11" s="134"/>
      <c r="R11" s="134"/>
      <c r="S11" s="132">
        <f>+Extramural!O11</f>
        <v>0</v>
      </c>
      <c r="T11" s="134"/>
      <c r="U11" s="134">
        <v>366.9</v>
      </c>
      <c r="V11" s="134">
        <f>+Q11+O11+I11+S11+U11</f>
        <v>26139.073595340804</v>
      </c>
      <c r="X11" s="134">
        <f>25225.6354542143+184.6</f>
        <v>25410.2354542143</v>
      </c>
      <c r="Z11" s="134">
        <f aca="true" t="shared" si="2" ref="Z11:Z26">+V11-X11</f>
        <v>728.8381411265036</v>
      </c>
      <c r="AA11" s="123">
        <f aca="true" t="shared" si="3" ref="AA11:AA26">+X11*1.044</f>
        <v>26528.28581419973</v>
      </c>
      <c r="AB11" s="123">
        <f aca="true" t="shared" si="4" ref="AB11:AB26">+V11-AA11</f>
        <v>-389.2122188589274</v>
      </c>
    </row>
    <row r="12" spans="1:28" ht="12.75">
      <c r="A12" s="60" t="s">
        <v>128</v>
      </c>
      <c r="B12" s="5" t="s">
        <v>33</v>
      </c>
      <c r="C12" s="264">
        <f>+'UG Distribution'!G12</f>
        <v>1280.76823712232</v>
      </c>
      <c r="D12" s="132">
        <f>+'UG Distribution'!J12-'UG Distribution'!L12</f>
        <v>0</v>
      </c>
      <c r="E12" s="132">
        <f>+'UG Distribution'!W12</f>
        <v>1763.2481965579084</v>
      </c>
      <c r="F12" s="132">
        <f>-'UG Distribution'!S12</f>
        <v>0</v>
      </c>
      <c r="G12" s="132"/>
      <c r="H12" s="132">
        <f>+'UG Summer'!E12</f>
        <v>196.12600067159164</v>
      </c>
      <c r="I12" s="159">
        <f t="shared" si="0"/>
        <v>3240.1424343518197</v>
      </c>
      <c r="K12" s="264">
        <f>+'Grad Distribution'!K12</f>
        <v>1391.146875609523</v>
      </c>
      <c r="L12" s="132">
        <f>+'Grad Summer'!E12</f>
        <v>158.27866270548972</v>
      </c>
      <c r="M12" s="132"/>
      <c r="N12" s="132"/>
      <c r="O12" s="159">
        <f t="shared" si="1"/>
        <v>1549.4255383150128</v>
      </c>
      <c r="Q12" s="134"/>
      <c r="R12" s="134"/>
      <c r="S12" s="132">
        <f>+Extramural!O12+187</f>
        <v>347.926</v>
      </c>
      <c r="T12" s="134"/>
      <c r="U12" s="134"/>
      <c r="V12" s="134">
        <f aca="true" t="shared" si="5" ref="V12:V25">+Q12+O12+I12+S12+U12</f>
        <v>5137.493972666833</v>
      </c>
      <c r="X12" s="134">
        <v>4738.340971931926</v>
      </c>
      <c r="Z12" s="54">
        <f t="shared" si="2"/>
        <v>399.1530007349065</v>
      </c>
      <c r="AA12" s="1">
        <f t="shared" si="3"/>
        <v>4946.827974696931</v>
      </c>
      <c r="AB12" s="1">
        <f t="shared" si="4"/>
        <v>190.66599796990158</v>
      </c>
    </row>
    <row r="13" spans="1:28" ht="12.75">
      <c r="A13" s="60" t="s">
        <v>129</v>
      </c>
      <c r="B13" s="5" t="s">
        <v>34</v>
      </c>
      <c r="C13" s="264">
        <f>+'UG Distribution'!G13</f>
        <v>12326.578347227549</v>
      </c>
      <c r="D13" s="132">
        <f>+'UG Distribution'!J13-'UG Distribution'!L13</f>
        <v>9945.79901917171</v>
      </c>
      <c r="E13" s="132">
        <f>+'UG Distribution'!W13</f>
        <v>7925.686926088518</v>
      </c>
      <c r="F13" s="132">
        <f>-'UG Distribution'!S13</f>
        <v>-94.287</v>
      </c>
      <c r="G13" s="132"/>
      <c r="H13" s="132">
        <f>+'UG Summer'!E13</f>
        <v>1005.1758341168568</v>
      </c>
      <c r="I13" s="159">
        <f t="shared" si="0"/>
        <v>31108.953126604636</v>
      </c>
      <c r="K13" s="264">
        <f>+'Grad Distribution'!K13</f>
        <v>2533.14735473189</v>
      </c>
      <c r="L13" s="132">
        <f>+'Grad Summer'!E13</f>
        <v>146.0649648614765</v>
      </c>
      <c r="M13" s="132"/>
      <c r="N13" s="132"/>
      <c r="O13" s="159">
        <f t="shared" si="1"/>
        <v>2679.212319593367</v>
      </c>
      <c r="Q13" s="134"/>
      <c r="R13" s="134"/>
      <c r="S13" s="132">
        <f>+Extramural!O13</f>
        <v>2.188</v>
      </c>
      <c r="T13" s="134"/>
      <c r="U13" s="134"/>
      <c r="V13" s="134">
        <f t="shared" si="5"/>
        <v>33790.353446198</v>
      </c>
      <c r="X13" s="134">
        <v>29953.003038010793</v>
      </c>
      <c r="Z13" s="54">
        <f t="shared" si="2"/>
        <v>3837.350408187209</v>
      </c>
      <c r="AA13" s="1">
        <f t="shared" si="3"/>
        <v>31270.935171683268</v>
      </c>
      <c r="AB13" s="1">
        <f t="shared" si="4"/>
        <v>2519.4182745147336</v>
      </c>
    </row>
    <row r="14" spans="1:28" ht="12.75">
      <c r="A14" s="60" t="s">
        <v>130</v>
      </c>
      <c r="B14" s="5" t="s">
        <v>35</v>
      </c>
      <c r="C14" s="264">
        <f>+'UG Distribution'!G14</f>
        <v>3888.729623127929</v>
      </c>
      <c r="D14" s="132">
        <f>+'UG Distribution'!J14-'UG Distribution'!L14</f>
        <v>804.7683361045791</v>
      </c>
      <c r="E14" s="132">
        <f>+'UG Distribution'!W14</f>
        <v>3865.974343754844</v>
      </c>
      <c r="F14" s="132">
        <f>-'UG Distribution'!S14</f>
        <v>-2.66</v>
      </c>
      <c r="G14" s="132"/>
      <c r="H14" s="132">
        <f>+'UG Summer'!E14</f>
        <v>240.64539959704496</v>
      </c>
      <c r="I14" s="159">
        <f t="shared" si="0"/>
        <v>8797.457702584397</v>
      </c>
      <c r="K14" s="264">
        <f>+'Grad Distribution'!K14</f>
        <v>2233.4977826015947</v>
      </c>
      <c r="L14" s="132">
        <f>+'Grad Summer'!E14</f>
        <v>165.230993413734</v>
      </c>
      <c r="M14" s="132"/>
      <c r="N14" s="132"/>
      <c r="O14" s="159">
        <f t="shared" si="1"/>
        <v>2398.7287760153285</v>
      </c>
      <c r="Q14" s="134"/>
      <c r="R14" s="134"/>
      <c r="S14" s="132">
        <f>+Extramural!O14</f>
        <v>1.057</v>
      </c>
      <c r="T14" s="134"/>
      <c r="U14" s="134"/>
      <c r="V14" s="134">
        <f t="shared" si="5"/>
        <v>11197.243478599727</v>
      </c>
      <c r="X14" s="134">
        <v>10990.633229317793</v>
      </c>
      <c r="Z14" s="54">
        <f t="shared" si="2"/>
        <v>206.61024928193365</v>
      </c>
      <c r="AA14" s="1">
        <f t="shared" si="3"/>
        <v>11474.221091407777</v>
      </c>
      <c r="AB14" s="1">
        <f t="shared" si="4"/>
        <v>-276.97761280805025</v>
      </c>
    </row>
    <row r="15" spans="1:28" ht="12.75">
      <c r="A15" s="60" t="s">
        <v>131</v>
      </c>
      <c r="B15" s="5" t="s">
        <v>36</v>
      </c>
      <c r="C15" s="264">
        <f>+'UG Distribution'!G15</f>
        <v>1025.7250720190948</v>
      </c>
      <c r="D15" s="132">
        <f>+'UG Distribution'!J15-'UG Distribution'!L15</f>
        <v>0</v>
      </c>
      <c r="E15" s="132">
        <f>+'UG Distribution'!W15</f>
        <v>1079.2691936674387</v>
      </c>
      <c r="F15" s="132">
        <f>-'UG Distribution'!S15</f>
        <v>0</v>
      </c>
      <c r="G15" s="132"/>
      <c r="H15" s="132">
        <f>+'UG Summer'!E15</f>
        <v>61.12393149764942</v>
      </c>
      <c r="I15" s="159">
        <f t="shared" si="0"/>
        <v>2166.1181971841825</v>
      </c>
      <c r="K15" s="264">
        <f>+'Grad Distribution'!K15</f>
        <v>194.75027934363413</v>
      </c>
      <c r="L15" s="132">
        <f>+'Grad Summer'!E15</f>
        <v>1.6387864849116238</v>
      </c>
      <c r="M15" s="132"/>
      <c r="N15" s="132"/>
      <c r="O15" s="159">
        <f t="shared" si="1"/>
        <v>196.38906582854577</v>
      </c>
      <c r="Q15" s="134"/>
      <c r="R15" s="134"/>
      <c r="S15" s="132">
        <f>+Extramural!O15</f>
        <v>0</v>
      </c>
      <c r="T15" s="134"/>
      <c r="U15" s="134"/>
      <c r="V15" s="134">
        <f t="shared" si="5"/>
        <v>2362.5072630127283</v>
      </c>
      <c r="X15" s="134">
        <v>2475.832772495904</v>
      </c>
      <c r="Z15" s="54">
        <f t="shared" si="2"/>
        <v>-113.32550948317567</v>
      </c>
      <c r="AA15" s="1">
        <f t="shared" si="3"/>
        <v>2584.7694144857237</v>
      </c>
      <c r="AB15" s="1">
        <f t="shared" si="4"/>
        <v>-222.26215147299536</v>
      </c>
    </row>
    <row r="16" spans="1:28" ht="12.75">
      <c r="A16" s="60" t="s">
        <v>132</v>
      </c>
      <c r="B16" s="5" t="s">
        <v>37</v>
      </c>
      <c r="C16" s="264">
        <f>+'UG Distribution'!G16</f>
        <v>0</v>
      </c>
      <c r="D16" s="132">
        <f>+'UG Distribution'!J16-'UG Distribution'!L16</f>
        <v>0</v>
      </c>
      <c r="E16" s="132">
        <f>+'UG Distribution'!W16</f>
        <v>26.161987564659952</v>
      </c>
      <c r="F16" s="132">
        <f>-'UG Distribution'!S16</f>
        <v>0</v>
      </c>
      <c r="G16" s="132"/>
      <c r="H16" s="132">
        <f>+'UG Summer'!E16</f>
        <v>0</v>
      </c>
      <c r="I16" s="159">
        <f t="shared" si="0"/>
        <v>26.161987564659952</v>
      </c>
      <c r="K16" s="264">
        <f>+'Grad Distribution'!K16</f>
        <v>0</v>
      </c>
      <c r="L16" s="132">
        <f>+'Grad Summer'!E16</f>
        <v>0</v>
      </c>
      <c r="M16" s="132"/>
      <c r="N16" s="132"/>
      <c r="O16" s="159">
        <f t="shared" si="1"/>
        <v>0</v>
      </c>
      <c r="Q16" s="134">
        <f>+'Prof. Tuition'!F16</f>
        <v>11713.26065</v>
      </c>
      <c r="R16" s="134"/>
      <c r="S16" s="132">
        <f>+Extramural!O16</f>
        <v>0</v>
      </c>
      <c r="T16" s="134"/>
      <c r="U16" s="134"/>
      <c r="V16" s="134">
        <f t="shared" si="5"/>
        <v>11739.42263756466</v>
      </c>
      <c r="X16" s="134">
        <f>12009.6947994223-863.3</f>
        <v>11146.3947994223</v>
      </c>
      <c r="Z16" s="54">
        <f t="shared" si="2"/>
        <v>593.0278381423595</v>
      </c>
      <c r="AA16" s="1">
        <f t="shared" si="3"/>
        <v>11636.836170596882</v>
      </c>
      <c r="AB16" s="1">
        <f t="shared" si="4"/>
        <v>102.5864669677776</v>
      </c>
    </row>
    <row r="17" spans="1:28" ht="12.75">
      <c r="A17" s="60" t="s">
        <v>133</v>
      </c>
      <c r="B17" s="5" t="s">
        <v>38</v>
      </c>
      <c r="C17" s="264">
        <f>+'UG Distribution'!G17</f>
        <v>26641.357916910667</v>
      </c>
      <c r="D17" s="132">
        <f>+'UG Distribution'!J17-'UG Distribution'!L17</f>
        <v>5733.4617653953355</v>
      </c>
      <c r="E17" s="132">
        <f>+'UG Distribution'!W17</f>
        <v>32440.655284277826</v>
      </c>
      <c r="F17" s="132">
        <f>-'UG Distribution'!S17</f>
        <v>-584.717</v>
      </c>
      <c r="G17" s="132"/>
      <c r="H17" s="132">
        <f>+'UG Summer'!E17</f>
        <v>3886.663848891873</v>
      </c>
      <c r="I17" s="159">
        <f t="shared" si="0"/>
        <v>68117.42181547571</v>
      </c>
      <c r="K17" s="264">
        <f>+'Grad Distribution'!K17</f>
        <v>1257.5391150159987</v>
      </c>
      <c r="L17" s="132">
        <f>+'Grad Summer'!E17</f>
        <v>80.66364769657267</v>
      </c>
      <c r="M17" s="132">
        <f>'Grad Distribution'!M17</f>
        <v>1401.1</v>
      </c>
      <c r="N17" s="132"/>
      <c r="O17" s="159">
        <f t="shared" si="1"/>
        <v>2739.3027627125716</v>
      </c>
      <c r="Q17" s="134"/>
      <c r="R17" s="134"/>
      <c r="S17" s="132">
        <f>+Extramural!O17+10</f>
        <v>25.796</v>
      </c>
      <c r="T17" s="134"/>
      <c r="U17" s="134">
        <v>-366.9</v>
      </c>
      <c r="V17" s="134">
        <f t="shared" si="5"/>
        <v>70515.62057818829</v>
      </c>
      <c r="X17" s="134">
        <f>61802.872111626+5359.9+340.4</f>
        <v>67503.17211162599</v>
      </c>
      <c r="Z17" s="54">
        <f t="shared" si="2"/>
        <v>3012.448466562302</v>
      </c>
      <c r="AA17" s="1">
        <f t="shared" si="3"/>
        <v>70473.31168453753</v>
      </c>
      <c r="AB17" s="1">
        <f t="shared" si="4"/>
        <v>42.308893650755635</v>
      </c>
    </row>
    <row r="18" spans="1:28" ht="12.75">
      <c r="A18" s="60" t="s">
        <v>134</v>
      </c>
      <c r="B18" s="5" t="s">
        <v>39</v>
      </c>
      <c r="C18" s="264">
        <f>+'UG Distribution'!G18</f>
        <v>2655.3710011711582</v>
      </c>
      <c r="D18" s="132">
        <f>+'UG Distribution'!J18-'UG Distribution'!L18</f>
        <v>1.1262715596214528</v>
      </c>
      <c r="E18" s="132">
        <f>+'UG Distribution'!W18</f>
        <v>3700.002694644642</v>
      </c>
      <c r="F18" s="132">
        <f>-'UG Distribution'!S18</f>
        <v>-4.838</v>
      </c>
      <c r="G18" s="132"/>
      <c r="H18" s="132">
        <f>+'UG Summer'!E18</f>
        <v>553.7250644728005</v>
      </c>
      <c r="I18" s="159">
        <f t="shared" si="0"/>
        <v>6905.387031848221</v>
      </c>
      <c r="K18" s="264">
        <f>+'Grad Distribution'!K18</f>
        <v>186.38143137493324</v>
      </c>
      <c r="L18" s="132">
        <f>+'Grad Summer'!E18</f>
        <v>11.836745007327883</v>
      </c>
      <c r="M18" s="132"/>
      <c r="N18" s="132"/>
      <c r="O18" s="159">
        <f t="shared" si="1"/>
        <v>198.21817638226113</v>
      </c>
      <c r="Q18" s="134"/>
      <c r="R18" s="134"/>
      <c r="S18" s="132">
        <f>+Extramural!O18+10</f>
        <v>12.64</v>
      </c>
      <c r="T18" s="134"/>
      <c r="U18" s="134"/>
      <c r="V18" s="134">
        <f t="shared" si="5"/>
        <v>7116.245208230483</v>
      </c>
      <c r="X18" s="134">
        <v>6495.111696031373</v>
      </c>
      <c r="Z18" s="54">
        <f t="shared" si="2"/>
        <v>621.1335121991096</v>
      </c>
      <c r="AA18" s="1">
        <f t="shared" si="3"/>
        <v>6780.896610656753</v>
      </c>
      <c r="AB18" s="1">
        <f t="shared" si="4"/>
        <v>335.3485975737294</v>
      </c>
    </row>
    <row r="19" spans="1:28" ht="12.75">
      <c r="A19" s="60" t="s">
        <v>135</v>
      </c>
      <c r="B19" s="5" t="s">
        <v>40</v>
      </c>
      <c r="C19" s="264">
        <f>+'UG Distribution'!G19</f>
        <v>0</v>
      </c>
      <c r="D19" s="132">
        <f>+'UG Distribution'!J19-'UG Distribution'!L19</f>
        <v>0</v>
      </c>
      <c r="E19" s="132">
        <f>+'UG Distribution'!W19</f>
        <v>37.882557993627614</v>
      </c>
      <c r="F19" s="132">
        <f>-'UG Distribution'!S19</f>
        <v>0</v>
      </c>
      <c r="G19" s="132"/>
      <c r="H19" s="132">
        <f>+'UG Summer'!E19</f>
        <v>9.385170584284754</v>
      </c>
      <c r="I19" s="159">
        <f t="shared" si="0"/>
        <v>47.267728577912365</v>
      </c>
      <c r="K19" s="264">
        <f>+'Grad Distribution'!K19</f>
        <v>46.838027471533664</v>
      </c>
      <c r="L19" s="132">
        <f>+'Grad Summer'!E19</f>
        <v>10.251200448501754</v>
      </c>
      <c r="M19" s="132"/>
      <c r="N19" s="132"/>
      <c r="O19" s="159">
        <f t="shared" si="1"/>
        <v>57.08922792003542</v>
      </c>
      <c r="Q19" s="134">
        <f>+'Prof. Tuition'!F19</f>
        <v>5517.835</v>
      </c>
      <c r="R19" s="134"/>
      <c r="S19" s="132">
        <f>+Extramural!O19</f>
        <v>0</v>
      </c>
      <c r="T19" s="134"/>
      <c r="U19" s="134"/>
      <c r="V19" s="134">
        <f t="shared" si="5"/>
        <v>5622.191956497948</v>
      </c>
      <c r="X19" s="134">
        <f>5736.79667232228-307</f>
        <v>5429.79667232228</v>
      </c>
      <c r="Z19" s="54">
        <f t="shared" si="2"/>
        <v>192.39528417566817</v>
      </c>
      <c r="AA19" s="1">
        <f t="shared" si="3"/>
        <v>5668.70772590446</v>
      </c>
      <c r="AB19" s="1">
        <f t="shared" si="4"/>
        <v>-46.515769406511936</v>
      </c>
    </row>
    <row r="20" spans="1:26" ht="12.75">
      <c r="A20" s="60" t="s">
        <v>136</v>
      </c>
      <c r="B20" s="5" t="s">
        <v>41</v>
      </c>
      <c r="C20" s="264">
        <f>+'UG Distribution'!G20</f>
        <v>0</v>
      </c>
      <c r="D20" s="132">
        <f>+'UG Distribution'!J20-'UG Distribution'!L20</f>
        <v>0</v>
      </c>
      <c r="E20" s="132">
        <f>+'UG Distribution'!W20</f>
        <v>165.5530573091682</v>
      </c>
      <c r="F20" s="132">
        <f>-'UG Distribution'!S20</f>
        <v>0</v>
      </c>
      <c r="G20" s="132"/>
      <c r="H20" s="132">
        <f>+'UG Summer'!E20</f>
        <v>1.9251631967763598</v>
      </c>
      <c r="I20" s="159">
        <f t="shared" si="0"/>
        <v>167.47822050594456</v>
      </c>
      <c r="K20" s="264">
        <f>+'Grad Distribution'!K20</f>
        <v>0</v>
      </c>
      <c r="L20" s="132">
        <v>0</v>
      </c>
      <c r="M20" s="132"/>
      <c r="N20" s="132"/>
      <c r="O20" s="159">
        <f t="shared" si="1"/>
        <v>0</v>
      </c>
      <c r="Q20" s="134"/>
      <c r="R20" s="134"/>
      <c r="S20" s="132">
        <f>+Extramural!O20</f>
        <v>0</v>
      </c>
      <c r="T20" s="134"/>
      <c r="U20" s="134"/>
      <c r="V20" s="134">
        <f t="shared" si="5"/>
        <v>167.47822050594456</v>
      </c>
      <c r="X20" s="134">
        <v>174.5469302306056</v>
      </c>
      <c r="Z20" s="54"/>
    </row>
    <row r="21" spans="1:28" ht="12.75">
      <c r="A21" s="60" t="s">
        <v>137</v>
      </c>
      <c r="B21" s="5" t="s">
        <v>42</v>
      </c>
      <c r="C21" s="264">
        <f>+'UG Distribution'!G21</f>
        <v>496.7097789641979</v>
      </c>
      <c r="D21" s="132">
        <f>+'UG Distribution'!J21-'UG Distribution'!L21</f>
        <v>0</v>
      </c>
      <c r="E21" s="132">
        <f>+'UG Distribution'!W21</f>
        <v>216.2724305345223</v>
      </c>
      <c r="F21" s="132">
        <f>-'UG Distribution'!S21</f>
        <v>0</v>
      </c>
      <c r="G21" s="132"/>
      <c r="H21" s="132">
        <f>+'UG Summer'!E21</f>
        <v>74.11878307588985</v>
      </c>
      <c r="I21" s="159">
        <f t="shared" si="0"/>
        <v>787.10099257461</v>
      </c>
      <c r="K21" s="264">
        <f>+'Grad Distribution'!K21</f>
        <v>0</v>
      </c>
      <c r="L21" s="132">
        <f>+'Grad Summer'!E20</f>
        <v>0</v>
      </c>
      <c r="M21" s="132"/>
      <c r="N21" s="132"/>
      <c r="O21" s="159">
        <f t="shared" si="1"/>
        <v>0</v>
      </c>
      <c r="Q21" s="134"/>
      <c r="R21" s="134"/>
      <c r="S21" s="132">
        <f>+Extramural!O21</f>
        <v>0</v>
      </c>
      <c r="T21" s="134"/>
      <c r="U21" s="134"/>
      <c r="V21" s="134">
        <f t="shared" si="5"/>
        <v>787.10099257461</v>
      </c>
      <c r="X21" s="134">
        <v>801.0908780401401</v>
      </c>
      <c r="Z21" s="54">
        <f t="shared" si="2"/>
        <v>-13.989885465530051</v>
      </c>
      <c r="AA21" s="1">
        <f t="shared" si="3"/>
        <v>836.3388766739063</v>
      </c>
      <c r="AB21" s="1">
        <f t="shared" si="4"/>
        <v>-49.23788409929625</v>
      </c>
    </row>
    <row r="22" spans="1:28" ht="12.75">
      <c r="A22" s="60" t="s">
        <v>138</v>
      </c>
      <c r="B22" s="5" t="s">
        <v>43</v>
      </c>
      <c r="C22" s="264">
        <f>+'UG Distribution'!G22</f>
        <v>0</v>
      </c>
      <c r="D22" s="132">
        <f>+'UG Distribution'!J21-'UG Distribution'!L21</f>
        <v>0</v>
      </c>
      <c r="E22" s="132">
        <f>+'UG Distribution'!W22</f>
        <v>2.441785506034929</v>
      </c>
      <c r="F22" s="132">
        <f>-'UG Distribution'!S22</f>
        <v>0</v>
      </c>
      <c r="G22" s="132"/>
      <c r="H22" s="132">
        <f>+'UG Summer'!E22</f>
        <v>0.48129079919408996</v>
      </c>
      <c r="I22" s="159">
        <f t="shared" si="0"/>
        <v>2.923076305229019</v>
      </c>
      <c r="K22" s="264">
        <f>+'Grad Distribution'!K22</f>
        <v>638.2434727541938</v>
      </c>
      <c r="L22" s="132">
        <f>+'Grad Summer'!E21</f>
        <v>2.329866685501386</v>
      </c>
      <c r="M22" s="132"/>
      <c r="N22" s="132"/>
      <c r="O22" s="159">
        <f t="shared" si="1"/>
        <v>640.5733394396952</v>
      </c>
      <c r="Q22" s="134"/>
      <c r="R22" s="134"/>
      <c r="S22" s="132">
        <f>+Extramural!O22</f>
        <v>2.736</v>
      </c>
      <c r="T22" s="134"/>
      <c r="U22" s="134"/>
      <c r="V22" s="134">
        <f t="shared" si="5"/>
        <v>646.2324157449243</v>
      </c>
      <c r="X22" s="134">
        <v>540.6824546260023</v>
      </c>
      <c r="Z22" s="54">
        <f t="shared" si="2"/>
        <v>105.54996111892206</v>
      </c>
      <c r="AA22" s="1">
        <f t="shared" si="3"/>
        <v>564.4724826295463</v>
      </c>
      <c r="AB22" s="1">
        <f t="shared" si="4"/>
        <v>81.75993311537798</v>
      </c>
    </row>
    <row r="23" spans="1:28" ht="12.75">
      <c r="A23" s="60" t="s">
        <v>139</v>
      </c>
      <c r="B23" s="5" t="s">
        <v>44</v>
      </c>
      <c r="C23" s="264">
        <f>+'UG Distribution'!G23</f>
        <v>0</v>
      </c>
      <c r="D23" s="132">
        <f>+'UG Distribution'!J22-'UG Distribution'!L22</f>
        <v>0</v>
      </c>
      <c r="E23" s="132">
        <f>+'UG Distribution'!W23</f>
        <v>80.78821759966993</v>
      </c>
      <c r="F23" s="132">
        <f>-'UG Distribution'!S23</f>
        <v>0</v>
      </c>
      <c r="G23" s="132"/>
      <c r="H23" s="132">
        <f>+'UG Summer'!E23</f>
        <v>2.1658085963734046</v>
      </c>
      <c r="I23" s="159">
        <f t="shared" si="0"/>
        <v>82.95402619604334</v>
      </c>
      <c r="K23" s="264">
        <f>+'Grad Distribution'!K23</f>
        <v>1305.7386957555432</v>
      </c>
      <c r="L23" s="132">
        <f>+'Grad Summer'!E22</f>
        <v>384.2075815337347</v>
      </c>
      <c r="M23" s="132"/>
      <c r="N23" s="132"/>
      <c r="O23" s="159">
        <f t="shared" si="1"/>
        <v>1689.946277289278</v>
      </c>
      <c r="Q23" s="134"/>
      <c r="R23" s="134"/>
      <c r="S23" s="132">
        <f>+Extramural!O23</f>
        <v>16.15</v>
      </c>
      <c r="T23" s="134"/>
      <c r="U23" s="134"/>
      <c r="V23" s="134">
        <f t="shared" si="5"/>
        <v>1789.0503034853214</v>
      </c>
      <c r="X23" s="134">
        <v>1446.4419809460865</v>
      </c>
      <c r="Z23" s="54">
        <f t="shared" si="2"/>
        <v>342.6083225392349</v>
      </c>
      <c r="AA23" s="1">
        <f t="shared" si="3"/>
        <v>1510.0854281077143</v>
      </c>
      <c r="AB23" s="1">
        <f t="shared" si="4"/>
        <v>278.9648753776071</v>
      </c>
    </row>
    <row r="24" spans="1:26" ht="12.75">
      <c r="A24" s="270" t="s">
        <v>140</v>
      </c>
      <c r="B24" s="5" t="s">
        <v>45</v>
      </c>
      <c r="C24" s="264">
        <v>0</v>
      </c>
      <c r="D24" s="132">
        <v>0</v>
      </c>
      <c r="E24" s="132">
        <v>0</v>
      </c>
      <c r="F24" s="132">
        <v>0</v>
      </c>
      <c r="G24" s="132"/>
      <c r="H24" s="132">
        <v>0</v>
      </c>
      <c r="I24" s="159">
        <f t="shared" si="0"/>
        <v>0</v>
      </c>
      <c r="K24" s="264">
        <f>+'Grad Distribution'!K24</f>
        <v>0</v>
      </c>
      <c r="L24" s="132">
        <f>+'Grad Summer'!E23</f>
        <v>0</v>
      </c>
      <c r="M24" s="132"/>
      <c r="N24" s="132"/>
      <c r="O24" s="159">
        <f t="shared" si="1"/>
        <v>0</v>
      </c>
      <c r="Q24" s="134"/>
      <c r="R24" s="134"/>
      <c r="S24" s="132">
        <f>+Extramural!O24</f>
        <v>904.3290000000001</v>
      </c>
      <c r="T24" s="134"/>
      <c r="U24" s="134"/>
      <c r="V24" s="134">
        <f t="shared" si="5"/>
        <v>904.3290000000001</v>
      </c>
      <c r="X24" s="134">
        <v>841.832</v>
      </c>
      <c r="Z24" s="54"/>
    </row>
    <row r="25" spans="1:28" ht="12.75">
      <c r="A25" s="60" t="s">
        <v>141</v>
      </c>
      <c r="B25" s="5" t="s">
        <v>46</v>
      </c>
      <c r="C25" s="264">
        <f>+'UG Distribution'!G25</f>
        <v>0</v>
      </c>
      <c r="D25" s="132">
        <f>+'UG Distribution'!J23-'UG Distribution'!L23</f>
        <v>0</v>
      </c>
      <c r="E25" s="132">
        <f>+'UG Distribution'!W25</f>
        <v>47.789230618112185</v>
      </c>
      <c r="F25" s="132">
        <f>-'UG Distribution'!S25</f>
        <v>0</v>
      </c>
      <c r="G25" s="132"/>
      <c r="H25" s="132">
        <f>+'UG Summer'!E24</f>
        <v>0</v>
      </c>
      <c r="I25" s="159">
        <f t="shared" si="0"/>
        <v>47.789230618112185</v>
      </c>
      <c r="K25" s="264">
        <f>+'Grad Distribution'!K25</f>
        <v>536.0423315119446</v>
      </c>
      <c r="L25" s="132">
        <f>+'Grad Summer'!E24</f>
        <v>128.9977330355093</v>
      </c>
      <c r="M25" s="132">
        <f>+'Grad Distribution'!M25</f>
        <v>0</v>
      </c>
      <c r="N25" s="132"/>
      <c r="O25" s="159">
        <f t="shared" si="1"/>
        <v>665.0400645474539</v>
      </c>
      <c r="Q25" s="265"/>
      <c r="R25" s="134"/>
      <c r="S25" s="132">
        <f>+Extramural!O25+5.5</f>
        <v>1667.219</v>
      </c>
      <c r="T25" s="265"/>
      <c r="U25" s="134"/>
      <c r="V25" s="134">
        <f t="shared" si="5"/>
        <v>2380.048295165566</v>
      </c>
      <c r="X25" s="265">
        <f>2315.03145525157+40.1</f>
        <v>2355.13145525157</v>
      </c>
      <c r="Z25" s="54">
        <f t="shared" si="2"/>
        <v>24.916839913995773</v>
      </c>
      <c r="AA25" s="1">
        <f t="shared" si="3"/>
        <v>2458.757239282639</v>
      </c>
      <c r="AB25" s="1">
        <f t="shared" si="4"/>
        <v>-78.70894411707332</v>
      </c>
    </row>
    <row r="26" spans="1:28" ht="12.75">
      <c r="A26" s="61" t="s">
        <v>47</v>
      </c>
      <c r="B26" s="8"/>
      <c r="C26" s="242">
        <f>SUM(C10:C25)</f>
        <v>58506.4365</v>
      </c>
      <c r="D26" s="266">
        <f>SUM(D10:D25)</f>
        <v>18530.131333999998</v>
      </c>
      <c r="E26" s="266">
        <f>SUM(E10:E25)</f>
        <v>58506.43650000002</v>
      </c>
      <c r="F26" s="266">
        <f>SUM(F10:F25)</f>
        <v>-713.8729999999999</v>
      </c>
      <c r="G26" s="266"/>
      <c r="H26" s="266">
        <f aca="true" t="shared" si="6" ref="H26:O26">SUM(H10:H25)</f>
        <v>7164.9761276024155</v>
      </c>
      <c r="I26" s="267">
        <f t="shared" si="6"/>
        <v>141994.1074616024</v>
      </c>
      <c r="J26" s="267"/>
      <c r="K26" s="268">
        <f t="shared" si="6"/>
        <v>10580.2</v>
      </c>
      <c r="L26" s="266">
        <f t="shared" si="6"/>
        <v>1145.7949999999998</v>
      </c>
      <c r="M26" s="266">
        <f t="shared" si="6"/>
        <v>14307.2</v>
      </c>
      <c r="N26" s="266">
        <f t="shared" si="6"/>
        <v>0</v>
      </c>
      <c r="O26" s="266">
        <f t="shared" si="6"/>
        <v>26033.194999999996</v>
      </c>
      <c r="P26" s="267"/>
      <c r="Q26" s="242">
        <f>SUM(Q10:Q25)</f>
        <v>17231.09565</v>
      </c>
      <c r="R26" s="269"/>
      <c r="S26" s="267">
        <f>SUM(S10:S25)</f>
        <v>3077.7408</v>
      </c>
      <c r="T26" s="267">
        <f>SUM(T10:T25)</f>
        <v>0</v>
      </c>
      <c r="U26" s="267">
        <f>SUM(U10:U25)</f>
        <v>0</v>
      </c>
      <c r="V26" s="269">
        <f>SUM(V10:V25)</f>
        <v>188336.13891160244</v>
      </c>
      <c r="X26" s="265">
        <f>SUM(X10:X25)</f>
        <v>178366.48198669896</v>
      </c>
      <c r="Z26" s="55">
        <f t="shared" si="2"/>
        <v>9969.65692490348</v>
      </c>
      <c r="AA26" s="1">
        <f t="shared" si="3"/>
        <v>186214.60719411372</v>
      </c>
      <c r="AB26" s="1">
        <f t="shared" si="4"/>
        <v>2121.531717488717</v>
      </c>
    </row>
    <row r="27" ht="12.75">
      <c r="X27" s="9"/>
    </row>
  </sheetData>
  <sheetProtection/>
  <printOptions/>
  <pageMargins left="0.75" right="0.4" top="1" bottom="1" header="0.5" footer="0.5"/>
  <pageSetup fitToHeight="1" fitToWidth="1" horizontalDpi="600" verticalDpi="600" orientation="landscape" scale="66" r:id="rId3"/>
  <headerFooter alignWithMargins="0">
    <oddFooter>&amp;L&amp;8&amp;D
&amp;F
&amp;A</oddFooter>
  </headerFooter>
  <legacyDrawing r:id="rId2"/>
</worksheet>
</file>

<file path=xl/worksheets/sheet12.xml><?xml version="1.0" encoding="utf-8"?>
<worksheet xmlns="http://schemas.openxmlformats.org/spreadsheetml/2006/main" xmlns:r="http://schemas.openxmlformats.org/officeDocument/2006/relationships">
  <dimension ref="A1:J35"/>
  <sheetViews>
    <sheetView zoomScalePageLayoutView="0" workbookViewId="0" topLeftCell="A1">
      <selection activeCell="H10" sqref="H10"/>
    </sheetView>
  </sheetViews>
  <sheetFormatPr defaultColWidth="9.140625" defaultRowHeight="12.75"/>
  <cols>
    <col min="1" max="1" width="3.7109375" style="123" customWidth="1"/>
    <col min="2" max="2" width="20.8515625" style="123" bestFit="1" customWidth="1"/>
    <col min="3" max="3" width="1.8515625" style="123" customWidth="1"/>
    <col min="4" max="4" width="11.28125" style="123" bestFit="1" customWidth="1"/>
    <col min="5" max="5" width="2.00390625" style="123" customWidth="1"/>
    <col min="6" max="6" width="11.28125" style="123" bestFit="1" customWidth="1"/>
    <col min="7" max="7" width="1.7109375" style="123" customWidth="1"/>
    <col min="8" max="8" width="9.8515625" style="123" bestFit="1" customWidth="1"/>
    <col min="9" max="9" width="11.8515625" style="123" bestFit="1" customWidth="1"/>
    <col min="10" max="10" width="10.28125" style="123" bestFit="1" customWidth="1"/>
    <col min="11" max="16384" width="9.140625" style="123" customWidth="1"/>
  </cols>
  <sheetData>
    <row r="1" spans="1:8" ht="12.75">
      <c r="A1" s="285" t="s">
        <v>99</v>
      </c>
      <c r="B1" s="285"/>
      <c r="C1" s="285"/>
      <c r="D1" s="285"/>
      <c r="E1" s="285"/>
      <c r="F1" s="285"/>
      <c r="G1" s="285"/>
      <c r="H1" s="285"/>
    </row>
    <row r="2" spans="1:8" ht="12.75">
      <c r="A2" s="285" t="s">
        <v>156</v>
      </c>
      <c r="B2" s="285"/>
      <c r="C2" s="285"/>
      <c r="D2" s="285"/>
      <c r="E2" s="285"/>
      <c r="F2" s="285"/>
      <c r="G2" s="285"/>
      <c r="H2" s="285"/>
    </row>
    <row r="6" spans="1:2" ht="12.75">
      <c r="A6" s="128" t="s">
        <v>7</v>
      </c>
      <c r="B6" s="128"/>
    </row>
    <row r="7" spans="1:9" ht="12.75">
      <c r="A7" s="128"/>
      <c r="B7" s="129"/>
      <c r="D7" s="135" t="s">
        <v>154</v>
      </c>
      <c r="E7" s="136"/>
      <c r="F7" s="135" t="s">
        <v>107</v>
      </c>
      <c r="G7" s="136"/>
      <c r="H7" s="135" t="s">
        <v>97</v>
      </c>
      <c r="I7" s="135" t="s">
        <v>143</v>
      </c>
    </row>
    <row r="8" spans="1:9" ht="12.75">
      <c r="A8" s="128"/>
      <c r="B8" s="129"/>
      <c r="D8" s="137" t="s">
        <v>25</v>
      </c>
      <c r="E8" s="138"/>
      <c r="F8" s="137" t="s">
        <v>25</v>
      </c>
      <c r="G8" s="138"/>
      <c r="H8" s="137" t="s">
        <v>155</v>
      </c>
      <c r="I8" s="137" t="s">
        <v>155</v>
      </c>
    </row>
    <row r="9" spans="1:9" ht="12.75">
      <c r="A9" s="151" t="s">
        <v>23</v>
      </c>
      <c r="B9" s="152"/>
      <c r="D9" s="139" t="s">
        <v>24</v>
      </c>
      <c r="E9" s="140"/>
      <c r="F9" s="139" t="s">
        <v>24</v>
      </c>
      <c r="G9" s="140"/>
      <c r="H9" s="139"/>
      <c r="I9" s="139"/>
    </row>
    <row r="10" spans="1:9" ht="12.75">
      <c r="A10" s="58" t="s">
        <v>126</v>
      </c>
      <c r="B10" s="130" t="s">
        <v>32</v>
      </c>
      <c r="D10" s="54">
        <f>+'Total Tuition'!V10</f>
        <v>8041.7475478266015</v>
      </c>
      <c r="E10" s="132"/>
      <c r="F10" s="54">
        <f>'Total Tuition'!X10</f>
        <v>8064.235542231892</v>
      </c>
      <c r="G10" s="132"/>
      <c r="H10" s="134">
        <f aca="true" t="shared" si="0" ref="H10:H25">D10-F10</f>
        <v>-22.48799440529092</v>
      </c>
      <c r="I10" s="273">
        <f>H10/F10</f>
        <v>-0.0027886083296454712</v>
      </c>
    </row>
    <row r="11" spans="1:9" ht="12.75">
      <c r="A11" s="60" t="s">
        <v>127</v>
      </c>
      <c r="B11" s="131" t="s">
        <v>142</v>
      </c>
      <c r="D11" s="54">
        <f>+'Total Tuition'!V11</f>
        <v>26139.073595340804</v>
      </c>
      <c r="E11" s="132"/>
      <c r="F11" s="54">
        <f>'Total Tuition'!X11</f>
        <v>25410.2354542143</v>
      </c>
      <c r="G11" s="132"/>
      <c r="H11" s="134">
        <f t="shared" si="0"/>
        <v>728.8381411265036</v>
      </c>
      <c r="I11" s="274">
        <f aca="true" t="shared" si="1" ref="I11:I26">H11/F11</f>
        <v>0.02868285665592388</v>
      </c>
    </row>
    <row r="12" spans="1:9" ht="12.75">
      <c r="A12" s="60" t="s">
        <v>128</v>
      </c>
      <c r="B12" s="131" t="s">
        <v>33</v>
      </c>
      <c r="D12" s="54">
        <f>+'Total Tuition'!V12</f>
        <v>5137.493972666833</v>
      </c>
      <c r="E12" s="132"/>
      <c r="F12" s="54">
        <f>'Total Tuition'!X12</f>
        <v>4738.340971931926</v>
      </c>
      <c r="G12" s="132"/>
      <c r="H12" s="134">
        <f t="shared" si="0"/>
        <v>399.1530007349065</v>
      </c>
      <c r="I12" s="274">
        <f t="shared" si="1"/>
        <v>0.08423897796704213</v>
      </c>
    </row>
    <row r="13" spans="1:9" ht="12.75">
      <c r="A13" s="60" t="s">
        <v>129</v>
      </c>
      <c r="B13" s="131" t="s">
        <v>34</v>
      </c>
      <c r="D13" s="54">
        <f>+'Total Tuition'!V13</f>
        <v>33790.353446198</v>
      </c>
      <c r="E13" s="132"/>
      <c r="F13" s="54">
        <f>'Total Tuition'!X13</f>
        <v>29953.003038010793</v>
      </c>
      <c r="G13" s="132"/>
      <c r="H13" s="134">
        <f t="shared" si="0"/>
        <v>3837.350408187209</v>
      </c>
      <c r="I13" s="274">
        <f t="shared" si="1"/>
        <v>0.1281123766894944</v>
      </c>
    </row>
    <row r="14" spans="1:9" ht="12.75">
      <c r="A14" s="60" t="s">
        <v>130</v>
      </c>
      <c r="B14" s="131" t="s">
        <v>35</v>
      </c>
      <c r="D14" s="54">
        <f>+'Total Tuition'!V14</f>
        <v>11197.243478599727</v>
      </c>
      <c r="E14" s="132"/>
      <c r="F14" s="54">
        <f>'Total Tuition'!X14</f>
        <v>10990.633229317793</v>
      </c>
      <c r="G14" s="132"/>
      <c r="H14" s="134">
        <f t="shared" si="0"/>
        <v>206.61024928193365</v>
      </c>
      <c r="I14" s="274">
        <f t="shared" si="1"/>
        <v>0.018798757539355927</v>
      </c>
    </row>
    <row r="15" spans="1:9" ht="12.75">
      <c r="A15" s="60" t="s">
        <v>131</v>
      </c>
      <c r="B15" s="131" t="s">
        <v>36</v>
      </c>
      <c r="D15" s="54">
        <f>+'Total Tuition'!V15</f>
        <v>2362.5072630127283</v>
      </c>
      <c r="E15" s="132"/>
      <c r="F15" s="54">
        <f>'Total Tuition'!X15</f>
        <v>2475.832772495904</v>
      </c>
      <c r="G15" s="132"/>
      <c r="H15" s="134">
        <f t="shared" si="0"/>
        <v>-113.32550948317567</v>
      </c>
      <c r="I15" s="274">
        <f t="shared" si="1"/>
        <v>-0.0457726833339117</v>
      </c>
    </row>
    <row r="16" spans="1:9" ht="12.75">
      <c r="A16" s="60" t="s">
        <v>132</v>
      </c>
      <c r="B16" s="131" t="s">
        <v>37</v>
      </c>
      <c r="D16" s="54">
        <f>+'Total Tuition'!V16</f>
        <v>11739.42263756466</v>
      </c>
      <c r="E16" s="132"/>
      <c r="F16" s="54">
        <f>'Total Tuition'!X16</f>
        <v>11146.3947994223</v>
      </c>
      <c r="G16" s="132"/>
      <c r="H16" s="134">
        <f t="shared" si="0"/>
        <v>593.0278381423595</v>
      </c>
      <c r="I16" s="274">
        <f t="shared" si="1"/>
        <v>0.053203555841490134</v>
      </c>
    </row>
    <row r="17" spans="1:9" ht="12.75">
      <c r="A17" s="60" t="s">
        <v>133</v>
      </c>
      <c r="B17" s="131" t="s">
        <v>38</v>
      </c>
      <c r="D17" s="54">
        <f>+'Total Tuition'!V17</f>
        <v>70515.62057818829</v>
      </c>
      <c r="E17" s="132"/>
      <c r="F17" s="54">
        <f>'Total Tuition'!X17</f>
        <v>67503.17211162599</v>
      </c>
      <c r="G17" s="132"/>
      <c r="H17" s="134">
        <f t="shared" si="0"/>
        <v>3012.448466562302</v>
      </c>
      <c r="I17" s="274">
        <f t="shared" si="1"/>
        <v>0.044626768969920336</v>
      </c>
    </row>
    <row r="18" spans="1:9" ht="12.75">
      <c r="A18" s="60" t="s">
        <v>134</v>
      </c>
      <c r="B18" s="131" t="s">
        <v>39</v>
      </c>
      <c r="D18" s="54">
        <f>+'Total Tuition'!V18</f>
        <v>7116.245208230483</v>
      </c>
      <c r="E18" s="132"/>
      <c r="F18" s="54">
        <f>'Total Tuition'!X18</f>
        <v>6495.111696031373</v>
      </c>
      <c r="G18" s="132"/>
      <c r="H18" s="134">
        <f t="shared" si="0"/>
        <v>621.1335121991096</v>
      </c>
      <c r="I18" s="274">
        <f t="shared" si="1"/>
        <v>0.09563092080135174</v>
      </c>
    </row>
    <row r="19" spans="1:9" ht="12.75">
      <c r="A19" s="60" t="s">
        <v>135</v>
      </c>
      <c r="B19" s="131" t="s">
        <v>40</v>
      </c>
      <c r="D19" s="54">
        <f>+'Total Tuition'!V19</f>
        <v>5622.191956497948</v>
      </c>
      <c r="E19" s="132"/>
      <c r="F19" s="54">
        <f>'Total Tuition'!X19</f>
        <v>5429.79667232228</v>
      </c>
      <c r="G19" s="132"/>
      <c r="H19" s="134">
        <f t="shared" si="0"/>
        <v>192.39528417566817</v>
      </c>
      <c r="I19" s="274">
        <f t="shared" si="1"/>
        <v>0.03543323917751459</v>
      </c>
    </row>
    <row r="20" spans="1:9" ht="12.75">
      <c r="A20" s="60" t="s">
        <v>136</v>
      </c>
      <c r="B20" s="131" t="s">
        <v>41</v>
      </c>
      <c r="D20" s="54">
        <f>+'Total Tuition'!V20</f>
        <v>167.47822050594456</v>
      </c>
      <c r="E20" s="132"/>
      <c r="F20" s="54">
        <f>'Total Tuition'!X20</f>
        <v>174.5469302306056</v>
      </c>
      <c r="G20" s="132"/>
      <c r="H20" s="134">
        <f t="shared" si="0"/>
        <v>-7.0687097246610335</v>
      </c>
      <c r="I20" s="274">
        <f t="shared" si="1"/>
        <v>-0.04049747374715837</v>
      </c>
    </row>
    <row r="21" spans="1:9" ht="12.75">
      <c r="A21" s="60" t="s">
        <v>137</v>
      </c>
      <c r="B21" s="131" t="s">
        <v>42</v>
      </c>
      <c r="D21" s="54">
        <f>+'Total Tuition'!V21</f>
        <v>787.10099257461</v>
      </c>
      <c r="E21" s="132"/>
      <c r="F21" s="54">
        <f>'Total Tuition'!X21</f>
        <v>801.0908780401401</v>
      </c>
      <c r="G21" s="132"/>
      <c r="H21" s="134">
        <f t="shared" si="0"/>
        <v>-13.989885465530051</v>
      </c>
      <c r="I21" s="274">
        <f t="shared" si="1"/>
        <v>-0.017463543586660416</v>
      </c>
    </row>
    <row r="22" spans="1:9" ht="12.75">
      <c r="A22" s="60" t="s">
        <v>138</v>
      </c>
      <c r="B22" s="131" t="s">
        <v>43</v>
      </c>
      <c r="D22" s="54">
        <f>+'Total Tuition'!V22</f>
        <v>646.2324157449243</v>
      </c>
      <c r="E22" s="132"/>
      <c r="F22" s="54">
        <f>'Total Tuition'!X22</f>
        <v>540.6824546260023</v>
      </c>
      <c r="G22" s="132"/>
      <c r="H22" s="134">
        <f t="shared" si="0"/>
        <v>105.54996111892206</v>
      </c>
      <c r="I22" s="274">
        <f t="shared" si="1"/>
        <v>0.19521617580864994</v>
      </c>
    </row>
    <row r="23" spans="1:9" ht="12.75">
      <c r="A23" s="60" t="s">
        <v>139</v>
      </c>
      <c r="B23" s="131" t="s">
        <v>44</v>
      </c>
      <c r="D23" s="54">
        <f>+'Total Tuition'!V23</f>
        <v>1789.0503034853214</v>
      </c>
      <c r="E23" s="132"/>
      <c r="F23" s="54">
        <f>'Total Tuition'!X23</f>
        <v>1446.4419809460865</v>
      </c>
      <c r="G23" s="132"/>
      <c r="H23" s="134">
        <f t="shared" si="0"/>
        <v>342.6083225392349</v>
      </c>
      <c r="I23" s="274">
        <f t="shared" si="1"/>
        <v>0.23686281721105895</v>
      </c>
    </row>
    <row r="24" spans="1:9" ht="12.75">
      <c r="A24" s="270" t="s">
        <v>140</v>
      </c>
      <c r="B24" s="131" t="s">
        <v>45</v>
      </c>
      <c r="D24" s="54">
        <f>+'Total Tuition'!V24</f>
        <v>904.3290000000001</v>
      </c>
      <c r="E24" s="132"/>
      <c r="F24" s="54">
        <f>'Total Tuition'!X24</f>
        <v>841.832</v>
      </c>
      <c r="G24" s="132"/>
      <c r="H24" s="134">
        <f t="shared" si="0"/>
        <v>62.49700000000007</v>
      </c>
      <c r="I24" s="274">
        <f t="shared" si="1"/>
        <v>0.07423927814575838</v>
      </c>
    </row>
    <row r="25" spans="1:9" ht="12.75">
      <c r="A25" s="60" t="s">
        <v>141</v>
      </c>
      <c r="B25" s="131" t="s">
        <v>46</v>
      </c>
      <c r="D25" s="54">
        <f>+'Total Tuition'!V25</f>
        <v>2380.048295165566</v>
      </c>
      <c r="E25" s="132"/>
      <c r="F25" s="54">
        <f>'Total Tuition'!X25</f>
        <v>2355.13145525157</v>
      </c>
      <c r="G25" s="132"/>
      <c r="H25" s="134">
        <f t="shared" si="0"/>
        <v>24.916839913995773</v>
      </c>
      <c r="I25" s="274">
        <f t="shared" si="1"/>
        <v>0.010579808553121383</v>
      </c>
    </row>
    <row r="26" spans="1:10" ht="12.75">
      <c r="A26" s="151" t="s">
        <v>47</v>
      </c>
      <c r="B26" s="152"/>
      <c r="D26" s="276">
        <f>SUM(D10:D25)</f>
        <v>188336.13891160244</v>
      </c>
      <c r="E26" s="133"/>
      <c r="F26" s="89">
        <f>SUM(F10:F25)</f>
        <v>178366.48198669896</v>
      </c>
      <c r="G26" s="133"/>
      <c r="H26" s="89">
        <f>SUM(H10:H25)</f>
        <v>9969.656924903487</v>
      </c>
      <c r="I26" s="275">
        <f t="shared" si="1"/>
        <v>0.055894228634542104</v>
      </c>
      <c r="J26" s="132"/>
    </row>
    <row r="29" spans="4:6" ht="15">
      <c r="D29" s="241"/>
      <c r="E29" s="241"/>
      <c r="F29" s="241"/>
    </row>
    <row r="30" spans="4:6" ht="12.75">
      <c r="D30" s="1"/>
      <c r="F30" s="1"/>
    </row>
    <row r="31" ht="12.75">
      <c r="F31" s="1"/>
    </row>
    <row r="35" spans="2:6" ht="12.75">
      <c r="B35" s="48"/>
      <c r="D35" s="48"/>
      <c r="E35" s="132"/>
      <c r="F35" s="48"/>
    </row>
  </sheetData>
  <sheetProtection/>
  <mergeCells count="2">
    <mergeCell ref="A1:H1"/>
    <mergeCell ref="A2:H2"/>
  </mergeCells>
  <printOptions/>
  <pageMargins left="0.75" right="0.48" top="1" bottom="1" header="0.5" footer="0.5"/>
  <pageSetup horizontalDpi="600" verticalDpi="600" orientation="portrait" r:id="rId1"/>
  <headerFooter alignWithMargins="0">
    <oddFooter>&amp;L&amp;8&amp;D
&amp;F
&amp;A</oddFooter>
  </headerFooter>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8.8515625" defaultRowHeight="12.75"/>
  <cols>
    <col min="1" max="1" width="33.8515625" style="1" customWidth="1"/>
    <col min="2" max="2" width="2.00390625" style="1" customWidth="1"/>
    <col min="3" max="3" width="9.8515625" style="1" bestFit="1" customWidth="1"/>
    <col min="4" max="4" width="10.421875" style="1" bestFit="1" customWidth="1"/>
    <col min="5" max="8" width="8.8515625" style="1" customWidth="1"/>
    <col min="9" max="9" width="9.7109375" style="1" bestFit="1" customWidth="1"/>
    <col min="10" max="16384" width="8.8515625" style="1" customWidth="1"/>
  </cols>
  <sheetData>
    <row r="1" ht="12.75">
      <c r="A1" s="10" t="s">
        <v>144</v>
      </c>
    </row>
    <row r="2" ht="12.75">
      <c r="A2" s="10"/>
    </row>
    <row r="3" ht="12.75"/>
    <row r="4" spans="1:9" ht="12.75">
      <c r="A4" s="1" t="s">
        <v>147</v>
      </c>
      <c r="C4" s="11">
        <f>123041+4474-643+240-4709-6104</f>
        <v>116299</v>
      </c>
      <c r="I4" s="11"/>
    </row>
    <row r="5" spans="3:9" ht="12.75">
      <c r="C5" s="11"/>
      <c r="I5" s="11"/>
    </row>
    <row r="6" spans="1:3" ht="12.75">
      <c r="A6" s="1" t="s">
        <v>158</v>
      </c>
      <c r="C6" s="1">
        <v>0</v>
      </c>
    </row>
    <row r="7" ht="12.75"/>
    <row r="8" spans="1:3" ht="12.75">
      <c r="A8" s="1" t="s">
        <v>178</v>
      </c>
      <c r="C8" s="1">
        <v>0</v>
      </c>
    </row>
    <row r="9" ht="12.75"/>
    <row r="10" spans="1:3" ht="12.75">
      <c r="A10" s="1" t="s">
        <v>145</v>
      </c>
      <c r="C10" s="1">
        <v>0</v>
      </c>
    </row>
    <row r="11" ht="12.75"/>
    <row r="12" spans="1:3" ht="12.75">
      <c r="A12" s="1" t="s">
        <v>175</v>
      </c>
      <c r="C12" s="1">
        <v>0</v>
      </c>
    </row>
    <row r="13" ht="12.75"/>
    <row r="14" spans="1:3" ht="12.75">
      <c r="A14" s="1" t="s">
        <v>0</v>
      </c>
      <c r="C14" s="1">
        <f>+'UG Distribution'!S26</f>
        <v>713.8729999999999</v>
      </c>
    </row>
    <row r="15" ht="12.75"/>
    <row r="16" spans="1:5" ht="12.75">
      <c r="A16" s="1" t="s">
        <v>1</v>
      </c>
      <c r="C16" s="11">
        <f>+C4+C6+C8+C10+C14+C12</f>
        <v>117012.873</v>
      </c>
      <c r="E16" s="141"/>
    </row>
    <row r="17" ht="12.75"/>
    <row r="18" ht="12.75"/>
    <row r="19" spans="1:9" ht="12.75">
      <c r="A19" s="1" t="s">
        <v>2</v>
      </c>
      <c r="C19" s="11">
        <f>+C16*D19</f>
        <v>58506.4365</v>
      </c>
      <c r="D19" s="17">
        <v>0.5</v>
      </c>
      <c r="I19" s="11"/>
    </row>
    <row r="20" ht="12.75">
      <c r="C20" s="11"/>
    </row>
    <row r="21" ht="12.75">
      <c r="C21" s="11"/>
    </row>
    <row r="22" spans="1:4" ht="12.75">
      <c r="A22" s="1" t="s">
        <v>3</v>
      </c>
      <c r="C22" s="11">
        <f>+C16*D22</f>
        <v>58506.4365</v>
      </c>
      <c r="D22" s="17">
        <v>0.5</v>
      </c>
    </row>
    <row r="23" ht="12.75"/>
    <row r="24" ht="12.75"/>
    <row r="25" ht="12.75"/>
    <row r="26" ht="12.75">
      <c r="A26" s="10" t="s">
        <v>4</v>
      </c>
    </row>
    <row r="27" ht="12.75"/>
    <row r="28" spans="1:3" ht="12.75">
      <c r="A28" s="1" t="s">
        <v>5</v>
      </c>
      <c r="C28" s="1">
        <f>6046.9+1496.7</f>
        <v>7543.599999999999</v>
      </c>
    </row>
    <row r="29" ht="12.75"/>
    <row r="30" spans="1:3" ht="15">
      <c r="A30" s="1" t="s">
        <v>122</v>
      </c>
      <c r="C30" s="87">
        <f>+C28*0.05</f>
        <v>377.18</v>
      </c>
    </row>
    <row r="31" ht="12.75"/>
    <row r="32" spans="1:3" ht="12.75">
      <c r="A32" s="1" t="s">
        <v>6</v>
      </c>
      <c r="C32" s="11">
        <f>+C28-C30</f>
        <v>7166.419999999999</v>
      </c>
    </row>
  </sheetData>
  <sheetProtection/>
  <printOptions/>
  <pageMargins left="0.75" right="0.75" top="1" bottom="1" header="0.5" footer="0.5"/>
  <pageSetup horizontalDpi="600" verticalDpi="600" orientation="portrait" r:id="rId3"/>
  <headerFooter alignWithMargins="0">
    <oddFooter>&amp;L&amp;8&amp;D
&amp;F
&amp;A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G38"/>
  <sheetViews>
    <sheetView zoomScalePageLayoutView="0" workbookViewId="0" topLeftCell="A1">
      <selection activeCell="D43" sqref="D43"/>
    </sheetView>
  </sheetViews>
  <sheetFormatPr defaultColWidth="9.140625" defaultRowHeight="12.75"/>
  <cols>
    <col min="3" max="3" width="4.421875" style="0" customWidth="1"/>
    <col min="4" max="4" width="20.7109375" style="0" customWidth="1"/>
    <col min="5" max="5" width="12.421875" style="0" customWidth="1"/>
    <col min="6" max="6" width="8.421875" style="141" customWidth="1"/>
    <col min="7" max="7" width="11.421875" style="0" customWidth="1"/>
    <col min="8" max="8" width="1.7109375" style="0" customWidth="1"/>
    <col min="9" max="9" width="14.00390625" style="0" bestFit="1" customWidth="1"/>
    <col min="10" max="10" width="10.421875" style="0" bestFit="1" customWidth="1"/>
    <col min="11" max="11" width="1.7109375" style="0" customWidth="1"/>
    <col min="12" max="12" width="10.28125" style="0" bestFit="1" customWidth="1"/>
    <col min="13" max="13" width="12.28125" style="0" bestFit="1" customWidth="1"/>
    <col min="14" max="15" width="1.7109375" style="0" customWidth="1"/>
    <col min="16" max="16" width="11.28125" style="0" bestFit="1" customWidth="1"/>
    <col min="17" max="17" width="2.140625" style="0" customWidth="1"/>
    <col min="20" max="20" width="1.7109375" style="0" customWidth="1"/>
    <col min="21" max="21" width="10.421875" style="0" customWidth="1"/>
    <col min="22" max="22" width="11.140625" style="141" customWidth="1"/>
    <col min="23" max="23" width="10.421875" style="0" customWidth="1"/>
    <col min="24" max="27" width="11.421875" style="0" customWidth="1"/>
    <col min="28" max="28" width="10.421875" style="0" customWidth="1"/>
    <col min="29" max="29" width="12.28125" style="0" customWidth="1"/>
    <col min="30" max="30" width="7.28125" style="0" customWidth="1"/>
    <col min="31" max="31" width="9.7109375" style="0" customWidth="1"/>
    <col min="32" max="32" width="11.421875" style="0" customWidth="1"/>
    <col min="33" max="33" width="11.140625" style="0" customWidth="1"/>
  </cols>
  <sheetData>
    <row r="1" spans="3:20" ht="12.75">
      <c r="C1" s="1"/>
      <c r="D1" s="1"/>
      <c r="E1" s="1"/>
      <c r="G1" s="1"/>
      <c r="H1" s="1"/>
      <c r="I1" s="1"/>
      <c r="J1" s="1"/>
      <c r="K1" s="1"/>
      <c r="L1" s="1"/>
      <c r="M1" s="1"/>
      <c r="N1" s="1"/>
      <c r="O1" s="1"/>
      <c r="P1" s="1"/>
      <c r="Q1" s="1"/>
      <c r="R1" s="1"/>
      <c r="S1" s="1"/>
      <c r="T1" s="1"/>
    </row>
    <row r="2" spans="3:20" ht="12.75">
      <c r="C2" s="1"/>
      <c r="D2" s="1"/>
      <c r="E2" s="1"/>
      <c r="G2" s="1"/>
      <c r="H2" s="1"/>
      <c r="I2" s="1"/>
      <c r="J2" s="1"/>
      <c r="K2" s="1"/>
      <c r="L2" s="1"/>
      <c r="M2" s="1"/>
      <c r="N2" s="1"/>
      <c r="O2" s="1"/>
      <c r="P2" s="1"/>
      <c r="Q2" s="1"/>
      <c r="R2" s="1"/>
      <c r="S2" s="1"/>
      <c r="T2" s="1"/>
    </row>
    <row r="3" spans="3:20" ht="12.75">
      <c r="C3" s="1"/>
      <c r="D3" s="1"/>
      <c r="E3" s="1"/>
      <c r="G3" s="1"/>
      <c r="H3" s="1"/>
      <c r="I3" s="1"/>
      <c r="J3" s="1"/>
      <c r="K3" s="1"/>
      <c r="L3" s="1"/>
      <c r="M3" s="1"/>
      <c r="N3" s="1"/>
      <c r="O3" s="1"/>
      <c r="P3" s="1"/>
      <c r="Q3" s="1"/>
      <c r="R3" s="1"/>
      <c r="S3" s="1"/>
      <c r="T3" s="1"/>
    </row>
    <row r="4" spans="3:20" ht="12.75">
      <c r="C4" s="1"/>
      <c r="D4" s="1"/>
      <c r="E4" s="1"/>
      <c r="G4" s="1"/>
      <c r="H4" s="1"/>
      <c r="I4" s="17"/>
      <c r="J4" s="1"/>
      <c r="K4" s="1"/>
      <c r="L4" s="1"/>
      <c r="M4" s="1"/>
      <c r="N4" s="1"/>
      <c r="O4" s="1"/>
      <c r="P4" s="1"/>
      <c r="Q4" s="1"/>
      <c r="R4" s="1"/>
      <c r="S4" s="1"/>
      <c r="T4" s="1"/>
    </row>
    <row r="5" spans="1:21" ht="12.75">
      <c r="A5" s="1"/>
      <c r="C5" s="1"/>
      <c r="D5" s="1"/>
      <c r="E5" s="120"/>
      <c r="G5" s="1"/>
      <c r="H5" s="1"/>
      <c r="I5" s="124"/>
      <c r="J5" s="1"/>
      <c r="K5" s="1"/>
      <c r="L5" s="1"/>
      <c r="M5" s="124"/>
      <c r="N5" s="1"/>
      <c r="O5" s="1"/>
      <c r="P5" s="124"/>
      <c r="Q5" s="1"/>
      <c r="R5" s="124"/>
      <c r="S5" s="1"/>
      <c r="U5" s="120"/>
    </row>
    <row r="6" spans="1:23" ht="13.5" thickBot="1">
      <c r="A6" s="1"/>
      <c r="C6" s="2" t="s">
        <v>7</v>
      </c>
      <c r="D6" s="2"/>
      <c r="E6" s="3"/>
      <c r="F6" s="148"/>
      <c r="G6" s="4"/>
      <c r="H6" s="220"/>
      <c r="I6" s="4"/>
      <c r="J6" s="4"/>
      <c r="K6" s="220"/>
      <c r="L6" s="4"/>
      <c r="M6" s="4"/>
      <c r="N6" s="3"/>
      <c r="O6" s="222"/>
      <c r="P6" s="4"/>
      <c r="Q6" s="220"/>
      <c r="R6" s="4"/>
      <c r="S6" s="4"/>
      <c r="T6" s="71"/>
      <c r="U6" s="77" t="s">
        <v>8</v>
      </c>
      <c r="V6" s="142"/>
      <c r="W6" s="24"/>
    </row>
    <row r="7" spans="1:23" ht="13.5" thickTop="1">
      <c r="A7" s="1"/>
      <c r="C7" s="2"/>
      <c r="D7" s="5"/>
      <c r="E7" s="195" t="s">
        <v>9</v>
      </c>
      <c r="F7" s="149"/>
      <c r="G7" s="31" t="s">
        <v>10</v>
      </c>
      <c r="H7" s="38"/>
      <c r="I7" s="195" t="s">
        <v>174</v>
      </c>
      <c r="J7" s="31" t="s">
        <v>12</v>
      </c>
      <c r="K7" s="38"/>
      <c r="L7" s="31" t="s">
        <v>160</v>
      </c>
      <c r="M7" s="149"/>
      <c r="N7" s="15"/>
      <c r="O7" s="14"/>
      <c r="P7" s="195" t="s">
        <v>13</v>
      </c>
      <c r="Q7" s="224"/>
      <c r="R7" s="195"/>
      <c r="S7" s="31" t="s">
        <v>14</v>
      </c>
      <c r="T7" s="72"/>
      <c r="U7" s="215" t="s">
        <v>15</v>
      </c>
      <c r="V7" s="143"/>
      <c r="W7" s="74" t="s">
        <v>10</v>
      </c>
    </row>
    <row r="8" spans="1:23" ht="12.75">
      <c r="A8" s="1"/>
      <c r="C8" s="2"/>
      <c r="D8" s="239"/>
      <c r="E8" s="195" t="s">
        <v>16</v>
      </c>
      <c r="F8" s="150" t="s">
        <v>17</v>
      </c>
      <c r="G8" s="86">
        <f>+'Undergrad Income'!C19</f>
        <v>58506.4365</v>
      </c>
      <c r="H8" s="38"/>
      <c r="I8" s="195" t="s">
        <v>11</v>
      </c>
      <c r="J8" s="31" t="s">
        <v>19</v>
      </c>
      <c r="K8" s="38"/>
      <c r="L8" s="31" t="s">
        <v>161</v>
      </c>
      <c r="M8" s="150" t="s">
        <v>17</v>
      </c>
      <c r="N8" s="15"/>
      <c r="O8" s="14"/>
      <c r="P8" s="195" t="s">
        <v>20</v>
      </c>
      <c r="Q8" s="224"/>
      <c r="R8" s="195" t="s">
        <v>14</v>
      </c>
      <c r="S8" s="31" t="s">
        <v>21</v>
      </c>
      <c r="T8" s="72"/>
      <c r="U8" s="196" t="s">
        <v>96</v>
      </c>
      <c r="V8" s="144" t="s">
        <v>17</v>
      </c>
      <c r="W8" s="110">
        <f>+G8</f>
        <v>58506.4365</v>
      </c>
    </row>
    <row r="9" spans="1:23" ht="12.75">
      <c r="A9" s="1"/>
      <c r="B9" s="66"/>
      <c r="C9" s="7" t="s">
        <v>23</v>
      </c>
      <c r="D9" s="8"/>
      <c r="E9" s="197" t="s">
        <v>24</v>
      </c>
      <c r="F9" s="145" t="s">
        <v>25</v>
      </c>
      <c r="G9" s="32" t="s">
        <v>26</v>
      </c>
      <c r="H9" s="39"/>
      <c r="I9" s="198" t="s">
        <v>12</v>
      </c>
      <c r="J9" s="32" t="s">
        <v>28</v>
      </c>
      <c r="K9" s="39"/>
      <c r="L9" s="32">
        <v>975</v>
      </c>
      <c r="M9" s="145" t="s">
        <v>25</v>
      </c>
      <c r="N9" s="16"/>
      <c r="O9" s="84"/>
      <c r="P9" s="198" t="s">
        <v>29</v>
      </c>
      <c r="Q9" s="225"/>
      <c r="R9" s="198" t="s">
        <v>21</v>
      </c>
      <c r="S9" s="32" t="s">
        <v>30</v>
      </c>
      <c r="T9" s="73"/>
      <c r="U9" s="199" t="s">
        <v>22</v>
      </c>
      <c r="V9" s="145" t="s">
        <v>25</v>
      </c>
      <c r="W9" s="75" t="s">
        <v>31</v>
      </c>
    </row>
    <row r="10" spans="1:25" ht="12.75">
      <c r="A10" s="1"/>
      <c r="B10" s="153"/>
      <c r="C10" s="58" t="s">
        <v>126</v>
      </c>
      <c r="D10" s="59" t="s">
        <v>32</v>
      </c>
      <c r="E10" s="203">
        <v>12108669</v>
      </c>
      <c r="F10" s="146">
        <f aca="true" t="shared" si="0" ref="F10:F25">+E10/$E$26</f>
        <v>0.06875748785195339</v>
      </c>
      <c r="G10" s="83">
        <f aca="true" t="shared" si="1" ref="G10:G25">+$G$8*F10</f>
        <v>4022.7555969098325</v>
      </c>
      <c r="H10" s="54"/>
      <c r="I10" s="179">
        <v>126904.834</v>
      </c>
      <c r="J10" s="83">
        <f aca="true" t="shared" si="2" ref="J10:J25">+I10/1000</f>
        <v>126.90483400000001</v>
      </c>
      <c r="K10" s="54"/>
      <c r="L10" s="83">
        <f>$L$28*M10+3</f>
        <v>4.418174375169818</v>
      </c>
      <c r="M10" s="146">
        <f aca="true" t="shared" si="3" ref="M10:M25">J10/$J$26</f>
        <v>0.006506237628175327</v>
      </c>
      <c r="N10" s="47"/>
      <c r="O10" s="49"/>
      <c r="P10" s="179">
        <v>757428</v>
      </c>
      <c r="Q10" s="226"/>
      <c r="R10" s="179">
        <v>27371</v>
      </c>
      <c r="S10" s="83">
        <f>+R10/1000</f>
        <v>27.371</v>
      </c>
      <c r="T10" s="72"/>
      <c r="U10" s="179">
        <v>48224</v>
      </c>
      <c r="V10" s="146">
        <f aca="true" t="shared" si="4" ref="V10:V27">+U10/$U$26</f>
        <v>0.057504131797791125</v>
      </c>
      <c r="W10" s="76">
        <f aca="true" t="shared" si="5" ref="W10:W27">+V10*$W$8</f>
        <v>3364.3618355150975</v>
      </c>
      <c r="X10" s="141"/>
      <c r="Y10" s="18"/>
    </row>
    <row r="11" spans="1:25" ht="12.75">
      <c r="A11" s="1"/>
      <c r="B11" s="153"/>
      <c r="C11" s="60" t="s">
        <v>127</v>
      </c>
      <c r="D11" s="5" t="s">
        <v>142</v>
      </c>
      <c r="E11" s="203">
        <f>18842025-274750</f>
        <v>18567275</v>
      </c>
      <c r="F11" s="146">
        <f t="shared" si="0"/>
        <v>0.10543183443666498</v>
      </c>
      <c r="G11" s="83">
        <f t="shared" si="1"/>
        <v>6168.440926547253</v>
      </c>
      <c r="H11" s="54"/>
      <c r="I11" s="179">
        <v>2021075</v>
      </c>
      <c r="J11" s="83">
        <f t="shared" si="2"/>
        <v>2021.075</v>
      </c>
      <c r="K11" s="54"/>
      <c r="L11" s="83">
        <f>$L$28*M11+76</f>
        <v>98.58571785607742</v>
      </c>
      <c r="M11" s="146">
        <f t="shared" si="3"/>
        <v>0.10361775670708058</v>
      </c>
      <c r="N11" s="47"/>
      <c r="O11" s="49"/>
      <c r="P11" s="179">
        <v>989835</v>
      </c>
      <c r="Q11" s="226"/>
      <c r="R11" s="179">
        <v>0</v>
      </c>
      <c r="S11" s="83">
        <f aca="true" t="shared" si="6" ref="S11:S25">+R11/1000</f>
        <v>0</v>
      </c>
      <c r="T11" s="72"/>
      <c r="U11" s="179">
        <v>54330</v>
      </c>
      <c r="V11" s="146">
        <f t="shared" si="4"/>
        <v>0.06478515843924171</v>
      </c>
      <c r="W11" s="76">
        <f t="shared" si="5"/>
        <v>3790.3487583679344</v>
      </c>
      <c r="X11" s="141"/>
      <c r="Y11" s="18"/>
    </row>
    <row r="12" spans="1:25" ht="12.75">
      <c r="A12" s="1"/>
      <c r="B12" s="153"/>
      <c r="C12" s="60" t="s">
        <v>128</v>
      </c>
      <c r="D12" s="5" t="s">
        <v>33</v>
      </c>
      <c r="E12" s="203">
        <v>3855168</v>
      </c>
      <c r="F12" s="146">
        <f t="shared" si="0"/>
        <v>0.021891065560322068</v>
      </c>
      <c r="G12" s="83">
        <f t="shared" si="1"/>
        <v>1280.76823712232</v>
      </c>
      <c r="H12" s="54"/>
      <c r="I12" s="179">
        <v>0</v>
      </c>
      <c r="J12" s="83">
        <f t="shared" si="2"/>
        <v>0</v>
      </c>
      <c r="K12" s="54"/>
      <c r="L12" s="83">
        <f>$L$28*M12</f>
        <v>0</v>
      </c>
      <c r="M12" s="146">
        <f t="shared" si="3"/>
        <v>0</v>
      </c>
      <c r="N12" s="47"/>
      <c r="O12" s="49"/>
      <c r="P12" s="179">
        <v>464868</v>
      </c>
      <c r="Q12" s="226"/>
      <c r="R12" s="179">
        <v>0</v>
      </c>
      <c r="S12" s="83">
        <f t="shared" si="6"/>
        <v>0</v>
      </c>
      <c r="T12" s="72"/>
      <c r="U12" s="179">
        <v>25274</v>
      </c>
      <c r="V12" s="146">
        <f t="shared" si="4"/>
        <v>0.030137678895516194</v>
      </c>
      <c r="W12" s="76">
        <f t="shared" si="5"/>
        <v>1763.2481965579084</v>
      </c>
      <c r="X12" s="141"/>
      <c r="Y12" s="18"/>
    </row>
    <row r="13" spans="1:25" ht="12.75">
      <c r="A13" s="1"/>
      <c r="B13" s="153"/>
      <c r="C13" s="60" t="s">
        <v>129</v>
      </c>
      <c r="D13" s="5" t="s">
        <v>34</v>
      </c>
      <c r="E13" s="203">
        <v>37103536</v>
      </c>
      <c r="F13" s="146">
        <f t="shared" si="0"/>
        <v>0.21068755994440969</v>
      </c>
      <c r="G13" s="83">
        <f t="shared" si="1"/>
        <v>12326.578347227549</v>
      </c>
      <c r="H13" s="54"/>
      <c r="I13" s="179">
        <v>10472834</v>
      </c>
      <c r="J13" s="83">
        <f t="shared" si="2"/>
        <v>10472.834</v>
      </c>
      <c r="K13" s="54"/>
      <c r="L13" s="83">
        <f>$L$28*M13+410</f>
        <v>527.0349808282892</v>
      </c>
      <c r="M13" s="146">
        <f t="shared" si="3"/>
        <v>0.536927904924677</v>
      </c>
      <c r="N13" s="47"/>
      <c r="O13" s="49"/>
      <c r="P13" s="179">
        <v>2073640</v>
      </c>
      <c r="Q13" s="226"/>
      <c r="R13" s="179">
        <v>94287</v>
      </c>
      <c r="S13" s="83">
        <f t="shared" si="6"/>
        <v>94.287</v>
      </c>
      <c r="T13" s="72"/>
      <c r="U13" s="179">
        <v>113605</v>
      </c>
      <c r="V13" s="146">
        <f t="shared" si="4"/>
        <v>0.13546692296134832</v>
      </c>
      <c r="W13" s="76">
        <f t="shared" si="5"/>
        <v>7925.686926088518</v>
      </c>
      <c r="X13" s="141"/>
      <c r="Y13" s="18"/>
    </row>
    <row r="14" spans="1:25" ht="12.75">
      <c r="A14" s="1"/>
      <c r="B14" s="153"/>
      <c r="C14" s="60" t="s">
        <v>130</v>
      </c>
      <c r="D14" s="5" t="s">
        <v>35</v>
      </c>
      <c r="E14" s="203">
        <v>11705245</v>
      </c>
      <c r="F14" s="146">
        <f t="shared" si="0"/>
        <v>0.06646669761074799</v>
      </c>
      <c r="G14" s="83">
        <f t="shared" si="1"/>
        <v>3888.729623127929</v>
      </c>
      <c r="H14" s="54"/>
      <c r="I14" s="179">
        <v>856338</v>
      </c>
      <c r="J14" s="83">
        <f t="shared" si="2"/>
        <v>856.338</v>
      </c>
      <c r="K14" s="54"/>
      <c r="L14" s="83">
        <f>$L$28*M14+42</f>
        <v>51.56966389542082</v>
      </c>
      <c r="M14" s="146">
        <f t="shared" si="3"/>
        <v>0.04390328045373277</v>
      </c>
      <c r="N14" s="47"/>
      <c r="O14" s="49"/>
      <c r="P14" s="179">
        <v>1375656</v>
      </c>
      <c r="Q14" s="226"/>
      <c r="R14" s="179">
        <v>2660</v>
      </c>
      <c r="S14" s="83">
        <f t="shared" si="6"/>
        <v>2.66</v>
      </c>
      <c r="T14" s="72"/>
      <c r="U14" s="179">
        <v>55414</v>
      </c>
      <c r="V14" s="146">
        <f t="shared" si="4"/>
        <v>0.06607776126913564</v>
      </c>
      <c r="W14" s="76">
        <f t="shared" si="5"/>
        <v>3865.974343754844</v>
      </c>
      <c r="X14" s="141"/>
      <c r="Y14" s="18"/>
    </row>
    <row r="15" spans="1:25" ht="12.75">
      <c r="A15" s="1"/>
      <c r="B15" s="153"/>
      <c r="C15" s="60" t="s">
        <v>131</v>
      </c>
      <c r="D15" s="5" t="s">
        <v>36</v>
      </c>
      <c r="E15" s="203">
        <v>3087477</v>
      </c>
      <c r="F15" s="146">
        <f t="shared" si="0"/>
        <v>0.017531832963696134</v>
      </c>
      <c r="G15" s="83">
        <f t="shared" si="1"/>
        <v>1025.7250720190948</v>
      </c>
      <c r="H15" s="54"/>
      <c r="I15" s="179">
        <v>0</v>
      </c>
      <c r="J15" s="83">
        <f t="shared" si="2"/>
        <v>0</v>
      </c>
      <c r="K15" s="54"/>
      <c r="L15" s="83">
        <f>$L$28*M15</f>
        <v>0</v>
      </c>
      <c r="M15" s="146">
        <f t="shared" si="3"/>
        <v>0</v>
      </c>
      <c r="N15" s="47"/>
      <c r="O15" s="49"/>
      <c r="P15" s="179">
        <v>152217</v>
      </c>
      <c r="Q15" s="226"/>
      <c r="R15" s="179">
        <v>0</v>
      </c>
      <c r="S15" s="83">
        <f t="shared" si="6"/>
        <v>0</v>
      </c>
      <c r="T15" s="72"/>
      <c r="U15" s="179">
        <v>15470</v>
      </c>
      <c r="V15" s="146">
        <f t="shared" si="4"/>
        <v>0.018447016400792732</v>
      </c>
      <c r="W15" s="76">
        <f t="shared" si="5"/>
        <v>1079.2691936674387</v>
      </c>
      <c r="X15" s="141"/>
      <c r="Y15" s="18"/>
    </row>
    <row r="16" spans="1:25" ht="12.75">
      <c r="A16" s="1"/>
      <c r="B16" s="153"/>
      <c r="C16" s="60" t="s">
        <v>132</v>
      </c>
      <c r="D16" s="5" t="s">
        <v>37</v>
      </c>
      <c r="E16" s="203">
        <v>0</v>
      </c>
      <c r="F16" s="146">
        <f t="shared" si="0"/>
        <v>0</v>
      </c>
      <c r="G16" s="83">
        <f t="shared" si="1"/>
        <v>0</v>
      </c>
      <c r="H16" s="54"/>
      <c r="I16" s="179">
        <v>0</v>
      </c>
      <c r="J16" s="83">
        <f t="shared" si="2"/>
        <v>0</v>
      </c>
      <c r="K16" s="54"/>
      <c r="L16" s="83">
        <f>$L$28*M16</f>
        <v>0</v>
      </c>
      <c r="M16" s="146">
        <f t="shared" si="3"/>
        <v>0</v>
      </c>
      <c r="N16" s="47"/>
      <c r="O16" s="49"/>
      <c r="P16" s="179">
        <v>0</v>
      </c>
      <c r="Q16" s="226"/>
      <c r="R16" s="179">
        <v>0</v>
      </c>
      <c r="S16" s="83">
        <f t="shared" si="6"/>
        <v>0</v>
      </c>
      <c r="T16" s="72"/>
      <c r="U16" s="179">
        <v>375</v>
      </c>
      <c r="V16" s="146">
        <f t="shared" si="4"/>
        <v>0.0004471642631090675</v>
      </c>
      <c r="W16" s="76">
        <f t="shared" si="5"/>
        <v>26.161987564659952</v>
      </c>
      <c r="X16" s="141"/>
      <c r="Y16" s="18"/>
    </row>
    <row r="17" spans="1:25" ht="12.75">
      <c r="A17" s="1"/>
      <c r="B17" s="153"/>
      <c r="C17" s="60" t="s">
        <v>133</v>
      </c>
      <c r="D17" s="5" t="s">
        <v>38</v>
      </c>
      <c r="E17" s="203">
        <v>80191644</v>
      </c>
      <c r="F17" s="146">
        <f t="shared" si="0"/>
        <v>0.4553577266137319</v>
      </c>
      <c r="G17" s="83">
        <f t="shared" si="1"/>
        <v>26641.357916910667</v>
      </c>
      <c r="H17" s="54"/>
      <c r="I17" s="179">
        <v>6026812</v>
      </c>
      <c r="J17" s="83">
        <f t="shared" si="2"/>
        <v>6026.812</v>
      </c>
      <c r="K17" s="54"/>
      <c r="L17" s="83">
        <f>$L$28*M17+224+2</f>
        <v>293.35023460466414</v>
      </c>
      <c r="M17" s="146">
        <f t="shared" si="3"/>
        <v>0.3089864253109428</v>
      </c>
      <c r="N17" s="47"/>
      <c r="O17" s="49"/>
      <c r="P17" s="179">
        <v>4799769</v>
      </c>
      <c r="Q17" s="226"/>
      <c r="R17" s="179">
        <v>584717</v>
      </c>
      <c r="S17" s="83">
        <f t="shared" si="6"/>
        <v>584.717</v>
      </c>
      <c r="T17" s="72"/>
      <c r="U17" s="179">
        <v>464997</v>
      </c>
      <c r="V17" s="146">
        <f t="shared" si="4"/>
        <v>0.5544801089411389</v>
      </c>
      <c r="W17" s="76">
        <f t="shared" si="5"/>
        <v>32440.655284277826</v>
      </c>
      <c r="X17" s="141"/>
      <c r="Y17" s="18"/>
    </row>
    <row r="18" spans="1:25" ht="12.75">
      <c r="A18" s="1"/>
      <c r="B18" s="153"/>
      <c r="C18" s="60" t="s">
        <v>134</v>
      </c>
      <c r="D18" s="5" t="s">
        <v>39</v>
      </c>
      <c r="E18" s="203">
        <v>7992782</v>
      </c>
      <c r="F18" s="146">
        <f t="shared" si="0"/>
        <v>0.045385963665231226</v>
      </c>
      <c r="G18" s="83">
        <f t="shared" si="1"/>
        <v>2655.3710011711582</v>
      </c>
      <c r="H18" s="54"/>
      <c r="I18" s="181">
        <v>1139</v>
      </c>
      <c r="J18" s="83">
        <f t="shared" si="2"/>
        <v>1.139</v>
      </c>
      <c r="K18" s="54"/>
      <c r="L18" s="83">
        <f aca="true" t="shared" si="7" ref="L18:L25">$L$28*M18</f>
        <v>0.012728440378547149</v>
      </c>
      <c r="M18" s="146">
        <f t="shared" si="3"/>
        <v>5.839497539149452E-05</v>
      </c>
      <c r="N18" s="47"/>
      <c r="O18" s="49"/>
      <c r="P18" s="179">
        <v>569655</v>
      </c>
      <c r="Q18" s="226"/>
      <c r="R18" s="179">
        <v>4838</v>
      </c>
      <c r="S18" s="83">
        <f t="shared" si="6"/>
        <v>4.838</v>
      </c>
      <c r="T18" s="72"/>
      <c r="U18" s="179">
        <v>53035</v>
      </c>
      <c r="V18" s="146">
        <f t="shared" si="4"/>
        <v>0.06324095118397173</v>
      </c>
      <c r="W18" s="76">
        <f t="shared" si="5"/>
        <v>3700.002694644642</v>
      </c>
      <c r="X18" s="141"/>
      <c r="Y18" s="18"/>
    </row>
    <row r="19" spans="1:25" ht="12.75">
      <c r="A19" s="1"/>
      <c r="B19" s="153"/>
      <c r="C19" s="60" t="s">
        <v>135</v>
      </c>
      <c r="D19" s="5" t="s">
        <v>40</v>
      </c>
      <c r="E19" s="203">
        <v>0</v>
      </c>
      <c r="F19" s="146">
        <f t="shared" si="0"/>
        <v>0</v>
      </c>
      <c r="G19" s="83">
        <f t="shared" si="1"/>
        <v>0</v>
      </c>
      <c r="H19" s="54"/>
      <c r="I19" s="179">
        <v>0</v>
      </c>
      <c r="J19" s="83">
        <f t="shared" si="2"/>
        <v>0</v>
      </c>
      <c r="K19" s="54"/>
      <c r="L19" s="83">
        <f t="shared" si="7"/>
        <v>0</v>
      </c>
      <c r="M19" s="146">
        <f t="shared" si="3"/>
        <v>0</v>
      </c>
      <c r="N19" s="47"/>
      <c r="O19" s="49"/>
      <c r="P19" s="179">
        <v>0</v>
      </c>
      <c r="Q19" s="226"/>
      <c r="R19" s="179">
        <v>0</v>
      </c>
      <c r="S19" s="83">
        <f t="shared" si="6"/>
        <v>0</v>
      </c>
      <c r="T19" s="72"/>
      <c r="U19" s="179">
        <v>543</v>
      </c>
      <c r="V19" s="146">
        <f t="shared" si="4"/>
        <v>0.0006474938529819298</v>
      </c>
      <c r="W19" s="76">
        <f t="shared" si="5"/>
        <v>37.882557993627614</v>
      </c>
      <c r="X19" s="141"/>
      <c r="Y19" s="18"/>
    </row>
    <row r="20" spans="1:25" ht="12.75">
      <c r="A20" s="1"/>
      <c r="C20" s="60" t="s">
        <v>136</v>
      </c>
      <c r="D20" s="5" t="s">
        <v>41</v>
      </c>
      <c r="E20" s="203">
        <v>0</v>
      </c>
      <c r="F20" s="146">
        <f t="shared" si="0"/>
        <v>0</v>
      </c>
      <c r="G20" s="83">
        <f t="shared" si="1"/>
        <v>0</v>
      </c>
      <c r="H20" s="54"/>
      <c r="I20" s="179"/>
      <c r="J20" s="83">
        <f t="shared" si="2"/>
        <v>0</v>
      </c>
      <c r="K20" s="54"/>
      <c r="L20" s="83">
        <f t="shared" si="7"/>
        <v>0</v>
      </c>
      <c r="M20" s="146">
        <f t="shared" si="3"/>
        <v>0</v>
      </c>
      <c r="N20" s="47"/>
      <c r="O20" s="49"/>
      <c r="P20" s="179">
        <v>0</v>
      </c>
      <c r="Q20" s="226"/>
      <c r="R20" s="179">
        <v>0</v>
      </c>
      <c r="S20" s="83">
        <f>+R21/1000</f>
        <v>0</v>
      </c>
      <c r="T20" s="72"/>
      <c r="U20" s="179">
        <v>2373</v>
      </c>
      <c r="V20" s="146">
        <f t="shared" si="4"/>
        <v>0.0028296554569541793</v>
      </c>
      <c r="W20" s="76">
        <f t="shared" si="5"/>
        <v>165.5530573091682</v>
      </c>
      <c r="X20" s="141"/>
      <c r="Y20" s="18"/>
    </row>
    <row r="21" spans="1:25" ht="12.75">
      <c r="A21" s="1"/>
      <c r="B21" s="153"/>
      <c r="C21" s="60" t="s">
        <v>137</v>
      </c>
      <c r="D21" s="5" t="s">
        <v>42</v>
      </c>
      <c r="E21" s="203">
        <v>1495118</v>
      </c>
      <c r="F21" s="146">
        <f t="shared" si="0"/>
        <v>0.00848983135324261</v>
      </c>
      <c r="G21" s="83">
        <f t="shared" si="1"/>
        <v>496.7097789641979</v>
      </c>
      <c r="H21" s="54"/>
      <c r="I21" s="179">
        <v>0</v>
      </c>
      <c r="J21" s="83">
        <f t="shared" si="2"/>
        <v>0</v>
      </c>
      <c r="K21" s="54"/>
      <c r="L21" s="83">
        <f t="shared" si="7"/>
        <v>0</v>
      </c>
      <c r="M21" s="146">
        <f t="shared" si="3"/>
        <v>0</v>
      </c>
      <c r="N21" s="47"/>
      <c r="O21" s="49"/>
      <c r="P21" s="179">
        <v>121956</v>
      </c>
      <c r="Q21" s="226"/>
      <c r="R21" s="179">
        <v>0</v>
      </c>
      <c r="S21" s="83">
        <f>+R22/1000</f>
        <v>0</v>
      </c>
      <c r="T21" s="72"/>
      <c r="U21" s="179">
        <v>3100</v>
      </c>
      <c r="V21" s="146">
        <f t="shared" si="4"/>
        <v>0.0036965579083682917</v>
      </c>
      <c r="W21" s="76">
        <f t="shared" si="5"/>
        <v>216.2724305345223</v>
      </c>
      <c r="X21" s="141"/>
      <c r="Y21" s="18"/>
    </row>
    <row r="22" spans="1:25" ht="12.75">
      <c r="A22" s="1"/>
      <c r="B22" s="153"/>
      <c r="C22" s="60" t="s">
        <v>138</v>
      </c>
      <c r="D22" s="5" t="s">
        <v>43</v>
      </c>
      <c r="E22" s="203">
        <v>0</v>
      </c>
      <c r="F22" s="146">
        <f t="shared" si="0"/>
        <v>0</v>
      </c>
      <c r="G22" s="83">
        <f t="shared" si="1"/>
        <v>0</v>
      </c>
      <c r="H22" s="54"/>
      <c r="I22" s="179">
        <v>0</v>
      </c>
      <c r="J22" s="83">
        <f t="shared" si="2"/>
        <v>0</v>
      </c>
      <c r="K22" s="54"/>
      <c r="L22" s="83">
        <f t="shared" si="7"/>
        <v>0</v>
      </c>
      <c r="M22" s="146">
        <f t="shared" si="3"/>
        <v>0</v>
      </c>
      <c r="N22" s="47"/>
      <c r="O22" s="49"/>
      <c r="P22" s="181">
        <v>0</v>
      </c>
      <c r="Q22" s="226"/>
      <c r="R22" s="179">
        <v>0</v>
      </c>
      <c r="S22" s="83">
        <f t="shared" si="6"/>
        <v>0</v>
      </c>
      <c r="T22" s="72"/>
      <c r="U22" s="179">
        <v>35</v>
      </c>
      <c r="V22" s="146">
        <f t="shared" si="4"/>
        <v>4.173533122351297E-05</v>
      </c>
      <c r="W22" s="76">
        <f t="shared" si="5"/>
        <v>2.441785506034929</v>
      </c>
      <c r="X22" s="141"/>
      <c r="Y22" s="18"/>
    </row>
    <row r="23" spans="1:25" ht="12.75">
      <c r="A23" s="1"/>
      <c r="B23" s="153"/>
      <c r="C23" s="60" t="s">
        <v>139</v>
      </c>
      <c r="D23" s="5" t="s">
        <v>44</v>
      </c>
      <c r="E23" s="203">
        <v>0</v>
      </c>
      <c r="F23" s="146">
        <f t="shared" si="0"/>
        <v>0</v>
      </c>
      <c r="G23" s="83">
        <f t="shared" si="1"/>
        <v>0</v>
      </c>
      <c r="H23" s="54"/>
      <c r="I23" s="179">
        <v>0</v>
      </c>
      <c r="J23" s="83">
        <f t="shared" si="2"/>
        <v>0</v>
      </c>
      <c r="K23" s="54"/>
      <c r="L23" s="83">
        <f t="shared" si="7"/>
        <v>0</v>
      </c>
      <c r="M23" s="146">
        <f t="shared" si="3"/>
        <v>0</v>
      </c>
      <c r="N23" s="47"/>
      <c r="O23" s="49"/>
      <c r="P23" s="181">
        <v>0</v>
      </c>
      <c r="Q23" s="226"/>
      <c r="R23" s="179">
        <v>0</v>
      </c>
      <c r="S23" s="83">
        <f t="shared" si="6"/>
        <v>0</v>
      </c>
      <c r="T23" s="72"/>
      <c r="U23" s="179">
        <v>1158</v>
      </c>
      <c r="V23" s="146">
        <f t="shared" si="4"/>
        <v>0.0013808432444808005</v>
      </c>
      <c r="W23" s="76">
        <f t="shared" si="5"/>
        <v>80.78821759966993</v>
      </c>
      <c r="X23" s="141"/>
      <c r="Y23" s="18"/>
    </row>
    <row r="24" spans="1:25" ht="12.75">
      <c r="A24" s="1"/>
      <c r="C24" s="270" t="s">
        <v>140</v>
      </c>
      <c r="D24" s="5" t="s">
        <v>45</v>
      </c>
      <c r="E24" s="203">
        <v>0</v>
      </c>
      <c r="F24" s="146">
        <f t="shared" si="0"/>
        <v>0</v>
      </c>
      <c r="G24" s="83">
        <f t="shared" si="1"/>
        <v>0</v>
      </c>
      <c r="H24" s="54"/>
      <c r="I24" s="179">
        <v>0</v>
      </c>
      <c r="J24" s="83">
        <f t="shared" si="2"/>
        <v>0</v>
      </c>
      <c r="K24" s="54"/>
      <c r="L24" s="83">
        <f t="shared" si="7"/>
        <v>0</v>
      </c>
      <c r="M24" s="146">
        <f t="shared" si="3"/>
        <v>0</v>
      </c>
      <c r="N24" s="47"/>
      <c r="O24" s="49"/>
      <c r="P24" s="179">
        <v>0</v>
      </c>
      <c r="Q24" s="226"/>
      <c r="R24" s="179">
        <v>0</v>
      </c>
      <c r="S24" s="83">
        <f t="shared" si="6"/>
        <v>0</v>
      </c>
      <c r="T24" s="72"/>
      <c r="U24" s="179">
        <v>0</v>
      </c>
      <c r="V24" s="146">
        <f t="shared" si="4"/>
        <v>0</v>
      </c>
      <c r="W24" s="76">
        <f t="shared" si="5"/>
        <v>0</v>
      </c>
      <c r="X24" s="141"/>
      <c r="Y24" s="18"/>
    </row>
    <row r="25" spans="1:25" ht="12.75">
      <c r="A25" s="1"/>
      <c r="B25" s="153"/>
      <c r="C25" s="60" t="s">
        <v>141</v>
      </c>
      <c r="D25" s="5" t="s">
        <v>46</v>
      </c>
      <c r="E25" s="203">
        <v>0</v>
      </c>
      <c r="F25" s="146">
        <f t="shared" si="0"/>
        <v>0</v>
      </c>
      <c r="G25" s="83">
        <f t="shared" si="1"/>
        <v>0</v>
      </c>
      <c r="H25" s="54"/>
      <c r="I25" s="179">
        <v>0</v>
      </c>
      <c r="J25" s="83">
        <f t="shared" si="2"/>
        <v>0</v>
      </c>
      <c r="K25" s="54"/>
      <c r="L25" s="83">
        <f t="shared" si="7"/>
        <v>0</v>
      </c>
      <c r="M25" s="192">
        <f t="shared" si="3"/>
        <v>0</v>
      </c>
      <c r="N25" s="47"/>
      <c r="O25" s="49"/>
      <c r="P25" s="179">
        <v>0</v>
      </c>
      <c r="Q25" s="226"/>
      <c r="R25" s="179">
        <v>0</v>
      </c>
      <c r="S25" s="83">
        <f t="shared" si="6"/>
        <v>0</v>
      </c>
      <c r="T25" s="72"/>
      <c r="U25" s="179">
        <v>685</v>
      </c>
      <c r="V25" s="146">
        <f t="shared" si="4"/>
        <v>0.0008168200539458967</v>
      </c>
      <c r="W25" s="76">
        <f t="shared" si="5"/>
        <v>47.789230618112185</v>
      </c>
      <c r="X25" s="141"/>
      <c r="Y25" s="18"/>
    </row>
    <row r="26" spans="1:23" ht="12.75">
      <c r="A26" s="1"/>
      <c r="C26" s="61" t="s">
        <v>47</v>
      </c>
      <c r="D26" s="8"/>
      <c r="E26" s="214">
        <f aca="true" t="shared" si="8" ref="E26:J26">SUM(E10:E25)</f>
        <v>176106914</v>
      </c>
      <c r="F26" s="147">
        <f t="shared" si="8"/>
        <v>1</v>
      </c>
      <c r="G26" s="80">
        <f t="shared" si="8"/>
        <v>58506.4365</v>
      </c>
      <c r="H26" s="221">
        <f t="shared" si="8"/>
        <v>0</v>
      </c>
      <c r="I26" s="200">
        <f t="shared" si="8"/>
        <v>19505102.834</v>
      </c>
      <c r="J26" s="80">
        <f t="shared" si="8"/>
        <v>19505.102834</v>
      </c>
      <c r="K26" s="89"/>
      <c r="L26" s="80">
        <f>SUM(L10:L25)</f>
        <v>974.9715</v>
      </c>
      <c r="M26" s="192">
        <f>SUM(M10:M25)</f>
        <v>1</v>
      </c>
      <c r="N26" s="70"/>
      <c r="O26" s="223"/>
      <c r="P26" s="200">
        <f>SUM(P10:P25)</f>
        <v>11305024</v>
      </c>
      <c r="Q26" s="227"/>
      <c r="R26" s="200">
        <f>SUM(R10:R25)</f>
        <v>713873</v>
      </c>
      <c r="S26" s="80">
        <f>SUM(S10:S25)</f>
        <v>713.8729999999999</v>
      </c>
      <c r="T26" s="81"/>
      <c r="U26" s="200">
        <f>SUM(U10:U25)</f>
        <v>838618</v>
      </c>
      <c r="V26" s="147">
        <f t="shared" si="4"/>
        <v>1</v>
      </c>
      <c r="W26" s="82">
        <f t="shared" si="5"/>
        <v>58506.4365</v>
      </c>
    </row>
    <row r="27" spans="1:33" ht="12.75">
      <c r="A27" s="1"/>
      <c r="C27" s="2"/>
      <c r="D27" s="2"/>
      <c r="E27" s="1"/>
      <c r="G27" s="1"/>
      <c r="H27" s="1"/>
      <c r="I27" s="1"/>
      <c r="J27" s="1"/>
      <c r="K27" s="1"/>
      <c r="L27" s="1"/>
      <c r="M27" s="1"/>
      <c r="N27" s="1"/>
      <c r="O27" s="1"/>
      <c r="P27" s="1"/>
      <c r="Q27" s="1"/>
      <c r="R27" s="1"/>
      <c r="S27" s="1"/>
      <c r="U27" s="18"/>
      <c r="V27" s="141">
        <f t="shared" si="4"/>
        <v>0</v>
      </c>
      <c r="W27" s="141">
        <f t="shared" si="5"/>
        <v>0</v>
      </c>
      <c r="X27" s="18"/>
      <c r="Y27" s="18"/>
      <c r="Z27" s="1"/>
      <c r="AA27" s="18"/>
      <c r="AC27" s="18"/>
      <c r="AF27" s="18"/>
      <c r="AG27" s="1"/>
    </row>
    <row r="28" spans="1:33" ht="12.75">
      <c r="A28" s="1"/>
      <c r="C28" s="2"/>
      <c r="D28" s="2"/>
      <c r="E28" s="1"/>
      <c r="G28" s="1"/>
      <c r="H28" s="1"/>
      <c r="I28" s="1"/>
      <c r="J28" s="2" t="s">
        <v>162</v>
      </c>
      <c r="K28" s="1"/>
      <c r="L28" s="1">
        <f>935.5*0.233</f>
        <v>217.97150000000002</v>
      </c>
      <c r="M28" s="1"/>
      <c r="N28" s="1"/>
      <c r="O28" s="1"/>
      <c r="P28" s="1"/>
      <c r="Q28" s="1"/>
      <c r="R28" s="1"/>
      <c r="S28" s="1"/>
      <c r="U28" s="1"/>
      <c r="W28" s="1"/>
      <c r="X28" s="18"/>
      <c r="Y28" s="18"/>
      <c r="Z28" s="1"/>
      <c r="AG28" s="1"/>
    </row>
    <row r="29" spans="1:33" ht="12.75">
      <c r="A29" s="1"/>
      <c r="C29" s="2"/>
      <c r="D29" s="2"/>
      <c r="E29" s="1"/>
      <c r="G29" s="1"/>
      <c r="H29" s="1"/>
      <c r="I29" s="1"/>
      <c r="J29" s="2" t="s">
        <v>163</v>
      </c>
      <c r="K29" s="1"/>
      <c r="L29" s="1">
        <v>757</v>
      </c>
      <c r="M29" s="1"/>
      <c r="N29" s="1"/>
      <c r="O29" s="1"/>
      <c r="P29" s="1"/>
      <c r="Q29" s="1"/>
      <c r="R29" s="1"/>
      <c r="S29" s="1"/>
      <c r="U29" s="1"/>
      <c r="W29" s="1"/>
      <c r="X29" s="18"/>
      <c r="Y29" s="18"/>
      <c r="Z29" s="1"/>
      <c r="AG29" s="1"/>
    </row>
    <row r="30" spans="1:33" ht="13.5" thickBot="1">
      <c r="A30" s="1"/>
      <c r="C30" s="2"/>
      <c r="D30" s="2"/>
      <c r="E30" s="193"/>
      <c r="G30" s="1"/>
      <c r="H30" s="1"/>
      <c r="I30" s="9"/>
      <c r="J30" s="9"/>
      <c r="K30" s="1"/>
      <c r="L30" s="272">
        <f>SUM(L28:L29)</f>
        <v>974.9715</v>
      </c>
      <c r="M30" s="17"/>
      <c r="N30" s="9"/>
      <c r="O30" s="9"/>
      <c r="P30" s="1"/>
      <c r="Q30" s="1"/>
      <c r="R30" s="1"/>
      <c r="S30" s="1"/>
      <c r="T30" s="18"/>
      <c r="U30" s="1"/>
      <c r="W30" s="1"/>
      <c r="X30" s="18"/>
      <c r="Y30" s="18"/>
      <c r="Z30" s="1"/>
      <c r="AG30" s="1"/>
    </row>
    <row r="31" spans="1:33" ht="12.75" customHeight="1" hidden="1">
      <c r="A31" s="1"/>
      <c r="C31" s="2"/>
      <c r="D31" s="2"/>
      <c r="E31" s="1"/>
      <c r="G31" s="1"/>
      <c r="H31" s="1"/>
      <c r="I31" s="1"/>
      <c r="J31" s="1"/>
      <c r="K31" s="1"/>
      <c r="L31" s="1"/>
      <c r="M31" s="1"/>
      <c r="N31" s="1"/>
      <c r="O31" s="1"/>
      <c r="P31" s="1"/>
      <c r="Q31" s="1"/>
      <c r="R31" s="1"/>
      <c r="S31" s="1"/>
      <c r="T31" s="18"/>
      <c r="U31" s="1"/>
      <c r="W31" s="1"/>
      <c r="X31" s="18"/>
      <c r="Y31" s="18"/>
      <c r="Z31" s="1"/>
      <c r="AG31" s="1"/>
    </row>
    <row r="32" spans="1:20" ht="13.5" thickTop="1">
      <c r="A32" s="1"/>
      <c r="T32" s="18"/>
    </row>
    <row r="33" spans="1:20" ht="12.75">
      <c r="A33" s="1"/>
      <c r="T33" s="18"/>
    </row>
    <row r="34" ht="12.75">
      <c r="T34" s="18"/>
    </row>
    <row r="38" ht="12.75">
      <c r="P38" s="141"/>
    </row>
  </sheetData>
  <sheetProtection/>
  <printOptions/>
  <pageMargins left="0.18" right="0.41" top="1" bottom="1" header="0.5" footer="0.5"/>
  <pageSetup fitToHeight="1" fitToWidth="1" horizontalDpi="600" verticalDpi="600" orientation="landscape" scale="69" r:id="rId3"/>
  <headerFooter alignWithMargins="0">
    <oddFooter>&amp;L&amp;8&amp;D
&amp;F
&amp;A</oddFooter>
  </headerFooter>
  <legacyDrawing r:id="rId2"/>
</worksheet>
</file>

<file path=xl/worksheets/sheet4.xml><?xml version="1.0" encoding="utf-8"?>
<worksheet xmlns="http://schemas.openxmlformats.org/spreadsheetml/2006/main" xmlns:r="http://schemas.openxmlformats.org/officeDocument/2006/relationships">
  <dimension ref="A1:H28"/>
  <sheetViews>
    <sheetView zoomScalePageLayoutView="0" workbookViewId="0" topLeftCell="A1">
      <selection activeCell="E47" sqref="E47"/>
    </sheetView>
  </sheetViews>
  <sheetFormatPr defaultColWidth="9.140625" defaultRowHeight="12.75"/>
  <cols>
    <col min="1" max="1" width="5.28125" style="0" customWidth="1"/>
    <col min="2" max="2" width="20.28125" style="0" customWidth="1"/>
    <col min="7" max="7" width="7.7109375" style="0" bestFit="1" customWidth="1"/>
  </cols>
  <sheetData>
    <row r="1" spans="1:2" ht="12.75">
      <c r="A1" s="1"/>
      <c r="B1" s="1"/>
    </row>
    <row r="2" spans="1:2" ht="12.75">
      <c r="A2" s="1"/>
      <c r="B2" s="1"/>
    </row>
    <row r="3" spans="1:2" ht="12.75">
      <c r="A3" s="1"/>
      <c r="B3" s="1"/>
    </row>
    <row r="4" spans="1:2" ht="12.75">
      <c r="A4" s="1"/>
      <c r="B4" s="1"/>
    </row>
    <row r="5" spans="1:3" ht="12.75">
      <c r="A5" s="1"/>
      <c r="B5" s="1"/>
      <c r="C5" s="120"/>
    </row>
    <row r="6" spans="1:5" ht="12.75">
      <c r="A6" s="2" t="s">
        <v>7</v>
      </c>
      <c r="B6" s="2"/>
      <c r="C6" s="105"/>
      <c r="D6" s="103"/>
      <c r="E6" s="104"/>
    </row>
    <row r="7" spans="1:5" ht="12.75">
      <c r="A7" s="2"/>
      <c r="B7" s="5"/>
      <c r="C7" s="169"/>
      <c r="D7" s="34"/>
      <c r="E7" s="98" t="s">
        <v>10</v>
      </c>
    </row>
    <row r="8" spans="1:5" ht="12.75">
      <c r="A8" s="2"/>
      <c r="B8" s="5"/>
      <c r="C8" s="170" t="s">
        <v>5</v>
      </c>
      <c r="D8" s="85" t="s">
        <v>17</v>
      </c>
      <c r="E8" s="99">
        <f>+'Undergrad Income'!C32</f>
        <v>7166.419999999999</v>
      </c>
    </row>
    <row r="9" spans="1:5" ht="12.75">
      <c r="A9" s="7" t="s">
        <v>23</v>
      </c>
      <c r="B9" s="8"/>
      <c r="C9" s="171" t="s">
        <v>94</v>
      </c>
      <c r="D9" s="13" t="s">
        <v>25</v>
      </c>
      <c r="E9" s="100" t="s">
        <v>26</v>
      </c>
    </row>
    <row r="10" spans="1:8" ht="12.75">
      <c r="A10" s="58" t="s">
        <v>126</v>
      </c>
      <c r="B10" s="59" t="s">
        <v>32</v>
      </c>
      <c r="C10" s="172">
        <v>866</v>
      </c>
      <c r="D10" s="62">
        <f aca="true" t="shared" si="0" ref="D10:D27">+C10/$C$26</f>
        <v>0.02907991940899933</v>
      </c>
      <c r="E10" s="101">
        <f>+$E$8*D10</f>
        <v>208.39891605104094</v>
      </c>
      <c r="G10" s="1"/>
      <c r="H10" s="175"/>
    </row>
    <row r="11" spans="1:8" ht="12.75">
      <c r="A11" s="60" t="s">
        <v>127</v>
      </c>
      <c r="B11" s="5" t="s">
        <v>142</v>
      </c>
      <c r="C11" s="172">
        <v>3844</v>
      </c>
      <c r="D11" s="78">
        <f t="shared" si="0"/>
        <v>0.12907991940899932</v>
      </c>
      <c r="E11" s="29">
        <f aca="true" t="shared" si="1" ref="E11:E25">+$E$8*D11</f>
        <v>925.0409160510408</v>
      </c>
      <c r="G11" s="1"/>
      <c r="H11" s="175"/>
    </row>
    <row r="12" spans="1:8" ht="12.75">
      <c r="A12" s="60" t="s">
        <v>128</v>
      </c>
      <c r="B12" s="5" t="s">
        <v>33</v>
      </c>
      <c r="C12" s="172">
        <v>815</v>
      </c>
      <c r="D12" s="78">
        <f t="shared" si="0"/>
        <v>0.027367360644728004</v>
      </c>
      <c r="E12" s="29">
        <f t="shared" si="1"/>
        <v>196.12600067159164</v>
      </c>
      <c r="G12" s="1"/>
      <c r="H12" s="175"/>
    </row>
    <row r="13" spans="1:8" ht="12.75">
      <c r="A13" s="60" t="s">
        <v>129</v>
      </c>
      <c r="B13" s="5" t="s">
        <v>34</v>
      </c>
      <c r="C13" s="172">
        <v>4177</v>
      </c>
      <c r="D13" s="78">
        <f t="shared" si="0"/>
        <v>0.14026192075218266</v>
      </c>
      <c r="E13" s="29">
        <f t="shared" si="1"/>
        <v>1005.1758341168568</v>
      </c>
      <c r="G13" s="1"/>
      <c r="H13" s="175"/>
    </row>
    <row r="14" spans="1:8" ht="12.75">
      <c r="A14" s="60" t="s">
        <v>130</v>
      </c>
      <c r="B14" s="5" t="s">
        <v>35</v>
      </c>
      <c r="C14" s="172">
        <v>1000</v>
      </c>
      <c r="D14" s="78">
        <f t="shared" si="0"/>
        <v>0.0335795836131632</v>
      </c>
      <c r="E14" s="29">
        <f t="shared" si="1"/>
        <v>240.64539959704496</v>
      </c>
      <c r="G14" s="1"/>
      <c r="H14" s="175"/>
    </row>
    <row r="15" spans="1:8" ht="12.75">
      <c r="A15" s="60" t="s">
        <v>131</v>
      </c>
      <c r="B15" s="5" t="s">
        <v>36</v>
      </c>
      <c r="C15" s="172">
        <v>254</v>
      </c>
      <c r="D15" s="78">
        <f t="shared" si="0"/>
        <v>0.008529214237743452</v>
      </c>
      <c r="E15" s="29">
        <f t="shared" si="1"/>
        <v>61.12393149764942</v>
      </c>
      <c r="G15" s="1"/>
      <c r="H15" s="175"/>
    </row>
    <row r="16" spans="1:8" ht="12.75">
      <c r="A16" s="60" t="s">
        <v>132</v>
      </c>
      <c r="B16" s="5" t="s">
        <v>37</v>
      </c>
      <c r="C16" s="172">
        <v>0</v>
      </c>
      <c r="D16" s="78">
        <f t="shared" si="0"/>
        <v>0</v>
      </c>
      <c r="E16" s="29">
        <f t="shared" si="1"/>
        <v>0</v>
      </c>
      <c r="G16" s="1"/>
      <c r="H16" s="175"/>
    </row>
    <row r="17" spans="1:8" ht="12.75">
      <c r="A17" s="60" t="s">
        <v>133</v>
      </c>
      <c r="B17" s="5" t="s">
        <v>38</v>
      </c>
      <c r="C17" s="172">
        <v>16151</v>
      </c>
      <c r="D17" s="78">
        <f t="shared" si="0"/>
        <v>0.5423438549361987</v>
      </c>
      <c r="E17" s="29">
        <f t="shared" si="1"/>
        <v>3886.663848891873</v>
      </c>
      <c r="G17" s="1"/>
      <c r="H17" s="175"/>
    </row>
    <row r="18" spans="1:8" ht="12.75">
      <c r="A18" s="60" t="s">
        <v>134</v>
      </c>
      <c r="B18" s="5" t="s">
        <v>39</v>
      </c>
      <c r="C18" s="172">
        <v>2301</v>
      </c>
      <c r="D18" s="78">
        <f t="shared" si="0"/>
        <v>0.07726662189388851</v>
      </c>
      <c r="E18" s="29">
        <f t="shared" si="1"/>
        <v>553.7250644728005</v>
      </c>
      <c r="G18" s="1"/>
      <c r="H18" s="175"/>
    </row>
    <row r="19" spans="1:8" ht="12.75">
      <c r="A19" s="60" t="s">
        <v>135</v>
      </c>
      <c r="B19" s="5" t="s">
        <v>40</v>
      </c>
      <c r="C19" s="172">
        <v>39</v>
      </c>
      <c r="D19" s="78">
        <f t="shared" si="0"/>
        <v>0.0013096037609133648</v>
      </c>
      <c r="E19" s="29">
        <f t="shared" si="1"/>
        <v>9.385170584284754</v>
      </c>
      <c r="G19" s="1"/>
      <c r="H19" s="175"/>
    </row>
    <row r="20" spans="1:8" ht="12.75">
      <c r="A20" s="60" t="s">
        <v>136</v>
      </c>
      <c r="B20" s="5" t="s">
        <v>41</v>
      </c>
      <c r="C20" s="172">
        <v>8</v>
      </c>
      <c r="D20" s="78">
        <f t="shared" si="0"/>
        <v>0.0002686366689053056</v>
      </c>
      <c r="E20" s="29">
        <f t="shared" si="1"/>
        <v>1.9251631967763598</v>
      </c>
      <c r="G20" s="1"/>
      <c r="H20" s="175"/>
    </row>
    <row r="21" spans="1:8" ht="12.75">
      <c r="A21" s="60" t="s">
        <v>137</v>
      </c>
      <c r="B21" s="5" t="s">
        <v>42</v>
      </c>
      <c r="C21" s="172">
        <v>308</v>
      </c>
      <c r="D21" s="78">
        <f t="shared" si="0"/>
        <v>0.010342511752854265</v>
      </c>
      <c r="E21" s="29">
        <f t="shared" si="1"/>
        <v>74.11878307588985</v>
      </c>
      <c r="G21" s="1"/>
      <c r="H21" s="175"/>
    </row>
    <row r="22" spans="1:8" ht="12.75">
      <c r="A22" s="60" t="s">
        <v>138</v>
      </c>
      <c r="B22" s="5" t="s">
        <v>43</v>
      </c>
      <c r="C22" s="172">
        <v>2</v>
      </c>
      <c r="D22" s="78">
        <f t="shared" si="0"/>
        <v>6.71591672263264E-05</v>
      </c>
      <c r="E22" s="29">
        <f t="shared" si="1"/>
        <v>0.48129079919408996</v>
      </c>
      <c r="G22" s="1"/>
      <c r="H22" s="175"/>
    </row>
    <row r="23" spans="1:8" ht="12.75">
      <c r="A23" s="60" t="s">
        <v>139</v>
      </c>
      <c r="B23" s="5" t="s">
        <v>44</v>
      </c>
      <c r="C23" s="172">
        <v>9</v>
      </c>
      <c r="D23" s="78">
        <f t="shared" si="0"/>
        <v>0.00030221625251846876</v>
      </c>
      <c r="E23" s="29">
        <f t="shared" si="1"/>
        <v>2.1658085963734046</v>
      </c>
      <c r="G23" s="1"/>
      <c r="H23" s="175"/>
    </row>
    <row r="24" spans="1:8" ht="12.75">
      <c r="A24" s="270" t="s">
        <v>140</v>
      </c>
      <c r="B24" s="5" t="s">
        <v>45</v>
      </c>
      <c r="C24" s="172">
        <v>0</v>
      </c>
      <c r="D24" s="78">
        <f t="shared" si="0"/>
        <v>0</v>
      </c>
      <c r="E24" s="29">
        <f t="shared" si="1"/>
        <v>0</v>
      </c>
      <c r="H24" s="175"/>
    </row>
    <row r="25" spans="1:8" ht="12.75">
      <c r="A25" s="60" t="s">
        <v>141</v>
      </c>
      <c r="B25" s="5" t="s">
        <v>46</v>
      </c>
      <c r="C25" s="173">
        <v>6</v>
      </c>
      <c r="D25" s="78">
        <f t="shared" si="0"/>
        <v>0.00020147750167897918</v>
      </c>
      <c r="E25" s="29">
        <f t="shared" si="1"/>
        <v>1.4438723975822698</v>
      </c>
      <c r="H25" s="175"/>
    </row>
    <row r="26" spans="1:8" ht="12.75">
      <c r="A26" s="106" t="s">
        <v>47</v>
      </c>
      <c r="B26" s="107"/>
      <c r="C26" s="174">
        <f>SUM(C10:C25)</f>
        <v>29780</v>
      </c>
      <c r="D26" s="79">
        <f t="shared" si="0"/>
        <v>1</v>
      </c>
      <c r="E26" s="67">
        <f>SUM(E10:E25)</f>
        <v>7166.419999999998</v>
      </c>
      <c r="G26" s="1"/>
      <c r="H26" s="176"/>
    </row>
    <row r="27" spans="1:4" ht="12.75">
      <c r="A27" s="2"/>
      <c r="B27" s="2"/>
      <c r="C27" s="18"/>
      <c r="D27" s="271">
        <f t="shared" si="0"/>
        <v>0</v>
      </c>
    </row>
    <row r="28" spans="1:3" ht="12.75">
      <c r="A28" s="2"/>
      <c r="B28" s="2"/>
      <c r="C28" s="18"/>
    </row>
  </sheetData>
  <sheetProtection/>
  <printOptions/>
  <pageMargins left="0.75" right="0.75" top="1" bottom="1" header="0.5" footer="0.5"/>
  <pageSetup horizontalDpi="600" verticalDpi="600" orientation="portrait" r:id="rId3"/>
  <headerFooter alignWithMargins="0">
    <oddFooter>&amp;L&amp;8&amp;D
&amp;F
&amp;A</oddFooter>
  </headerFooter>
  <legacyDrawing r:id="rId2"/>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B23" sqref="B23"/>
    </sheetView>
  </sheetViews>
  <sheetFormatPr defaultColWidth="8.8515625" defaultRowHeight="12.75"/>
  <cols>
    <col min="1" max="1" width="27.00390625" style="1" customWidth="1"/>
    <col min="2" max="2" width="7.8515625" style="1" bestFit="1" customWidth="1"/>
    <col min="3" max="3" width="8.8515625" style="1" customWidth="1"/>
    <col min="4" max="4" width="8.421875" style="1" bestFit="1" customWidth="1"/>
    <col min="5" max="16384" width="8.8515625" style="1" customWidth="1"/>
  </cols>
  <sheetData>
    <row r="1" spans="1:7" ht="12.75">
      <c r="A1" s="277" t="s">
        <v>176</v>
      </c>
      <c r="B1" s="277"/>
      <c r="C1" s="277"/>
      <c r="D1" s="277"/>
      <c r="E1" s="277"/>
      <c r="F1" s="277"/>
      <c r="G1" s="277"/>
    </row>
    <row r="2" ht="12.75"/>
    <row r="3" ht="12.75">
      <c r="A3" s="10" t="s">
        <v>48</v>
      </c>
    </row>
    <row r="4" ht="12.75"/>
    <row r="5" ht="12.75"/>
    <row r="6" ht="12.75"/>
    <row r="7" spans="1:4" ht="12.75">
      <c r="A7" s="1" t="s">
        <v>147</v>
      </c>
      <c r="B7" s="11">
        <v>9807</v>
      </c>
      <c r="D7" s="123"/>
    </row>
    <row r="8" spans="2:4" ht="12.75">
      <c r="B8" s="11"/>
      <c r="D8" s="123"/>
    </row>
    <row r="9" spans="1:4" ht="12.75">
      <c r="A9" s="1" t="s">
        <v>148</v>
      </c>
      <c r="B9" s="1">
        <v>686</v>
      </c>
      <c r="D9" s="123"/>
    </row>
    <row r="10" ht="12.75"/>
    <row r="11" spans="1:2" ht="12.75">
      <c r="A11" s="1" t="s">
        <v>123</v>
      </c>
      <c r="B11" s="1">
        <f>25.9+61.3</f>
        <v>87.19999999999999</v>
      </c>
    </row>
    <row r="12" ht="12.75"/>
    <row r="13" spans="1:2" ht="12.75">
      <c r="A13" s="1" t="s">
        <v>145</v>
      </c>
      <c r="B13" s="1">
        <v>0</v>
      </c>
    </row>
    <row r="14" ht="12.75"/>
    <row r="15" spans="1:2" ht="12.75">
      <c r="A15" s="1" t="s">
        <v>100</v>
      </c>
      <c r="B15" s="1">
        <f>+B7+B9+B13+B11</f>
        <v>10580.2</v>
      </c>
    </row>
    <row r="16" ht="12.75"/>
    <row r="17" ht="12.75"/>
    <row r="18" ht="12.75"/>
    <row r="19" ht="12.75"/>
    <row r="20" ht="12.75">
      <c r="A20" s="10" t="s">
        <v>4</v>
      </c>
    </row>
    <row r="21" ht="12.75"/>
    <row r="22" ht="12.75"/>
    <row r="23" spans="1:2" ht="12.75">
      <c r="A23" s="1" t="s">
        <v>49</v>
      </c>
      <c r="B23" s="1">
        <v>1206.1</v>
      </c>
    </row>
    <row r="24" ht="12.75"/>
    <row r="26" spans="1:2" ht="15">
      <c r="A26" s="1" t="s">
        <v>122</v>
      </c>
      <c r="B26" s="87">
        <f>+B23*0.05</f>
        <v>60.305</v>
      </c>
    </row>
    <row r="29" spans="1:2" ht="12.75">
      <c r="A29" s="1" t="s">
        <v>1</v>
      </c>
      <c r="B29" s="11">
        <f>+B23-B26</f>
        <v>1145.7949999999998</v>
      </c>
    </row>
  </sheetData>
  <sheetProtection/>
  <mergeCells count="1">
    <mergeCell ref="A1:G1"/>
  </mergeCells>
  <printOptions/>
  <pageMargins left="0.75" right="0.75" top="1" bottom="1" header="0.5" footer="0.5"/>
  <pageSetup horizontalDpi="600" verticalDpi="600" orientation="portrait" r:id="rId3"/>
  <headerFooter alignWithMargins="0">
    <oddFooter>&amp;L&amp;8&amp;D
&amp;F
&amp;A</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133"/>
  <sheetViews>
    <sheetView zoomScalePageLayoutView="0" workbookViewId="0" topLeftCell="A1">
      <selection activeCell="D22" sqref="D22"/>
    </sheetView>
  </sheetViews>
  <sheetFormatPr defaultColWidth="9.140625" defaultRowHeight="12.75"/>
  <cols>
    <col min="1" max="1" width="3.7109375" style="0" customWidth="1"/>
    <col min="2" max="2" width="21.00390625" style="0" customWidth="1"/>
    <col min="3" max="3" width="13.421875" style="0" bestFit="1" customWidth="1"/>
    <col min="4" max="4" width="12.28125" style="0" customWidth="1"/>
    <col min="5" max="5" width="13.421875" style="0" bestFit="1" customWidth="1"/>
    <col min="6" max="7" width="12.421875" style="0" customWidth="1"/>
    <col min="8" max="8" width="11.8515625" style="0" bestFit="1" customWidth="1"/>
    <col min="9" max="9" width="12.28125" style="0" bestFit="1" customWidth="1"/>
    <col min="10" max="10" width="7.28125" style="0" bestFit="1" customWidth="1"/>
    <col min="11" max="11" width="9.421875" style="0" customWidth="1"/>
    <col min="12" max="12" width="2.140625" style="0" customWidth="1"/>
    <col min="13" max="13" width="9.28125" style="0" bestFit="1" customWidth="1"/>
    <col min="18" max="18" width="14.00390625" style="0" bestFit="1" customWidth="1"/>
    <col min="19" max="20" width="12.8515625" style="0" bestFit="1" customWidth="1"/>
    <col min="21" max="21" width="14.00390625" style="0" bestFit="1" customWidth="1"/>
  </cols>
  <sheetData>
    <row r="1" spans="3:12" ht="12.75">
      <c r="C1" s="1"/>
      <c r="D1" s="1"/>
      <c r="E1" s="1"/>
      <c r="F1" s="1"/>
      <c r="G1" s="1"/>
      <c r="H1" s="1"/>
      <c r="I1" s="1"/>
      <c r="J1" s="1"/>
      <c r="K1" s="1"/>
      <c r="L1" s="1"/>
    </row>
    <row r="2" spans="3:12" ht="12.75">
      <c r="C2" s="1"/>
      <c r="D2" s="1"/>
      <c r="E2" s="1"/>
      <c r="F2" s="1"/>
      <c r="G2" s="1"/>
      <c r="H2" s="1"/>
      <c r="I2" s="1"/>
      <c r="J2" s="1"/>
      <c r="K2" s="1"/>
      <c r="L2" s="1"/>
    </row>
    <row r="3" spans="3:12" ht="12.75">
      <c r="C3" s="1"/>
      <c r="D3" s="1"/>
      <c r="E3" s="1"/>
      <c r="F3" s="1"/>
      <c r="G3" s="1"/>
      <c r="H3" s="1"/>
      <c r="I3" s="1"/>
      <c r="J3" s="1"/>
      <c r="K3" s="1"/>
      <c r="L3" s="1"/>
    </row>
    <row r="4" spans="3:12" ht="12.75">
      <c r="C4" s="1"/>
      <c r="D4" s="1"/>
      <c r="E4" s="1"/>
      <c r="F4" s="1"/>
      <c r="G4" s="1"/>
      <c r="H4" s="1"/>
      <c r="I4" s="1"/>
      <c r="J4" s="1"/>
      <c r="K4" s="1"/>
      <c r="L4" s="1"/>
    </row>
    <row r="5" spans="3:13" ht="12.75">
      <c r="C5" s="278"/>
      <c r="D5" s="278"/>
      <c r="E5" s="278"/>
      <c r="F5" s="278"/>
      <c r="G5" s="278"/>
      <c r="H5" s="278"/>
      <c r="I5" s="278"/>
      <c r="J5" s="278"/>
      <c r="K5" s="1"/>
      <c r="L5" s="1"/>
      <c r="M5" s="120"/>
    </row>
    <row r="6" spans="2:13" ht="13.5" thickBot="1">
      <c r="B6" s="22"/>
      <c r="C6" s="3" t="s">
        <v>149</v>
      </c>
      <c r="D6" s="4"/>
      <c r="E6" s="23"/>
      <c r="F6" s="4"/>
      <c r="G6" s="23"/>
      <c r="H6" s="23"/>
      <c r="I6" s="23"/>
      <c r="J6" s="24"/>
      <c r="K6" s="25"/>
      <c r="L6" s="71"/>
      <c r="M6" s="68"/>
    </row>
    <row r="7" spans="2:21" ht="13.5" thickTop="1">
      <c r="B7" s="22"/>
      <c r="C7" s="194"/>
      <c r="D7" s="195" t="s">
        <v>11</v>
      </c>
      <c r="E7" s="196" t="s">
        <v>12</v>
      </c>
      <c r="F7" s="195" t="s">
        <v>13</v>
      </c>
      <c r="G7" s="66"/>
      <c r="H7" s="66"/>
      <c r="I7" s="66"/>
      <c r="J7" s="21" t="s">
        <v>50</v>
      </c>
      <c r="K7" s="26" t="s">
        <v>10</v>
      </c>
      <c r="L7" s="72"/>
      <c r="M7" s="26" t="s">
        <v>154</v>
      </c>
      <c r="S7" s="153"/>
      <c r="T7" s="153"/>
      <c r="U7" s="154"/>
    </row>
    <row r="8" spans="2:21" ht="12.75">
      <c r="B8" s="22"/>
      <c r="C8" s="194" t="s">
        <v>16</v>
      </c>
      <c r="D8" s="195" t="s">
        <v>18</v>
      </c>
      <c r="E8" s="196" t="s">
        <v>51</v>
      </c>
      <c r="F8" s="195" t="s">
        <v>52</v>
      </c>
      <c r="G8" s="19" t="s">
        <v>24</v>
      </c>
      <c r="H8" s="19"/>
      <c r="I8" s="19" t="s">
        <v>91</v>
      </c>
      <c r="J8" s="19" t="s">
        <v>53</v>
      </c>
      <c r="K8" s="27">
        <f>+'Grad Income'!B15</f>
        <v>10580.2</v>
      </c>
      <c r="L8" s="72"/>
      <c r="M8" s="26" t="s">
        <v>54</v>
      </c>
      <c r="S8" s="153"/>
      <c r="T8" s="153"/>
      <c r="U8" s="154"/>
    </row>
    <row r="9" spans="1:21" ht="12.75">
      <c r="A9" s="7" t="s">
        <v>23</v>
      </c>
      <c r="B9" s="8"/>
      <c r="C9" s="197" t="s">
        <v>24</v>
      </c>
      <c r="D9" s="198" t="s">
        <v>27</v>
      </c>
      <c r="E9" s="199" t="s">
        <v>24</v>
      </c>
      <c r="F9" s="198" t="s">
        <v>23</v>
      </c>
      <c r="G9" s="20" t="s">
        <v>55</v>
      </c>
      <c r="H9" s="20" t="s">
        <v>108</v>
      </c>
      <c r="I9" s="20" t="s">
        <v>24</v>
      </c>
      <c r="J9" s="20" t="s">
        <v>25</v>
      </c>
      <c r="K9" s="28" t="s">
        <v>56</v>
      </c>
      <c r="L9" s="73"/>
      <c r="M9" s="28" t="s">
        <v>57</v>
      </c>
      <c r="S9" s="153"/>
      <c r="T9" s="153"/>
      <c r="U9" s="154"/>
    </row>
    <row r="10" spans="1:21" ht="12.75">
      <c r="A10" s="58" t="s">
        <v>126</v>
      </c>
      <c r="B10" s="2" t="s">
        <v>32</v>
      </c>
      <c r="C10" s="201">
        <v>6099041</v>
      </c>
      <c r="D10" s="181">
        <v>0</v>
      </c>
      <c r="E10" s="202">
        <f>+D10+C10</f>
        <v>6099041</v>
      </c>
      <c r="F10" s="181">
        <v>5852009</v>
      </c>
      <c r="G10" s="45">
        <f aca="true" t="shared" si="0" ref="G10:G25">+E10-F10</f>
        <v>247032</v>
      </c>
      <c r="H10" s="48">
        <v>0</v>
      </c>
      <c r="I10" s="48">
        <f>G10+H10</f>
        <v>247032</v>
      </c>
      <c r="J10" s="78">
        <f aca="true" t="shared" si="1" ref="J10:J25">+I10/$I$26</f>
        <v>0.021708721834552136</v>
      </c>
      <c r="K10" s="63">
        <f aca="true" t="shared" si="2" ref="K10:K26">+$K$8*J10</f>
        <v>229.68261875392852</v>
      </c>
      <c r="L10" s="72"/>
      <c r="M10" s="64"/>
      <c r="S10" s="1"/>
      <c r="T10" s="1"/>
      <c r="U10" s="1"/>
    </row>
    <row r="11" spans="1:21" ht="12.75">
      <c r="A11" s="60" t="s">
        <v>127</v>
      </c>
      <c r="B11" s="2" t="s">
        <v>142</v>
      </c>
      <c r="C11" s="203">
        <v>5257294</v>
      </c>
      <c r="D11" s="210">
        <v>3506990</v>
      </c>
      <c r="E11" s="180">
        <f aca="true" t="shared" si="3" ref="E11:E25">+D11+C11</f>
        <v>8764284</v>
      </c>
      <c r="F11" s="181">
        <v>1832453</v>
      </c>
      <c r="G11" s="48">
        <f t="shared" si="0"/>
        <v>6931831</v>
      </c>
      <c r="H11" s="48">
        <f>-C45</f>
        <v>-6902585</v>
      </c>
      <c r="I11" s="48">
        <f aca="true" t="shared" si="4" ref="I11:I25">G11+H11</f>
        <v>29246</v>
      </c>
      <c r="J11" s="78">
        <f t="shared" si="1"/>
        <v>0.00257008516618621</v>
      </c>
      <c r="K11" s="29">
        <f t="shared" si="2"/>
        <v>27.19201507528334</v>
      </c>
      <c r="L11" s="72"/>
      <c r="M11" s="29">
        <v>12906.1</v>
      </c>
      <c r="N11" s="18"/>
      <c r="O11" s="18"/>
      <c r="S11" s="1"/>
      <c r="T11" s="1"/>
      <c r="U11" s="1"/>
    </row>
    <row r="12" spans="1:21" ht="12.75">
      <c r="A12" s="60" t="s">
        <v>128</v>
      </c>
      <c r="B12" s="2" t="s">
        <v>33</v>
      </c>
      <c r="C12" s="203">
        <v>7199237</v>
      </c>
      <c r="D12" s="181">
        <v>0</v>
      </c>
      <c r="E12" s="180">
        <f t="shared" si="3"/>
        <v>7199237</v>
      </c>
      <c r="F12" s="181">
        <v>5703008</v>
      </c>
      <c r="G12" s="48">
        <f t="shared" si="0"/>
        <v>1496229</v>
      </c>
      <c r="H12" s="48">
        <v>0</v>
      </c>
      <c r="I12" s="48">
        <f t="shared" si="4"/>
        <v>1496229</v>
      </c>
      <c r="J12" s="78">
        <f t="shared" si="1"/>
        <v>0.13148587697865097</v>
      </c>
      <c r="K12" s="29">
        <f t="shared" si="2"/>
        <v>1391.146875609523</v>
      </c>
      <c r="L12" s="72"/>
      <c r="M12" s="30"/>
      <c r="S12" s="1"/>
      <c r="T12" s="1"/>
      <c r="U12" s="1"/>
    </row>
    <row r="13" spans="1:21" ht="12.75">
      <c r="A13" s="60" t="s">
        <v>129</v>
      </c>
      <c r="B13" s="2" t="s">
        <v>34</v>
      </c>
      <c r="C13" s="203">
        <v>35184328</v>
      </c>
      <c r="D13" s="181">
        <v>3365967</v>
      </c>
      <c r="E13" s="180">
        <f t="shared" si="3"/>
        <v>38550295</v>
      </c>
      <c r="F13" s="181">
        <v>35825803</v>
      </c>
      <c r="G13" s="48">
        <f t="shared" si="0"/>
        <v>2724492</v>
      </c>
      <c r="H13" s="48">
        <v>0</v>
      </c>
      <c r="I13" s="48">
        <f t="shared" si="4"/>
        <v>2724492</v>
      </c>
      <c r="J13" s="78">
        <f t="shared" si="1"/>
        <v>0.23942339036425492</v>
      </c>
      <c r="K13" s="29">
        <f t="shared" si="2"/>
        <v>2533.14735473189</v>
      </c>
      <c r="L13" s="72"/>
      <c r="M13" s="30"/>
      <c r="S13" s="1"/>
      <c r="T13" s="1"/>
      <c r="U13" s="1"/>
    </row>
    <row r="14" spans="1:21" ht="12.75">
      <c r="A14" s="60" t="s">
        <v>130</v>
      </c>
      <c r="B14" s="2" t="s">
        <v>35</v>
      </c>
      <c r="C14" s="203">
        <v>9331450</v>
      </c>
      <c r="D14" s="181">
        <v>311187</v>
      </c>
      <c r="E14" s="180">
        <f t="shared" si="3"/>
        <v>9642637</v>
      </c>
      <c r="F14" s="181">
        <v>7240429</v>
      </c>
      <c r="G14" s="48">
        <f t="shared" si="0"/>
        <v>2402208</v>
      </c>
      <c r="H14" s="48">
        <v>0</v>
      </c>
      <c r="I14" s="48">
        <f t="shared" si="4"/>
        <v>2402208</v>
      </c>
      <c r="J14" s="78">
        <f t="shared" si="1"/>
        <v>0.2111016599498681</v>
      </c>
      <c r="K14" s="29">
        <f t="shared" si="2"/>
        <v>2233.4977826015947</v>
      </c>
      <c r="L14" s="72"/>
      <c r="M14" s="30"/>
      <c r="S14" s="1"/>
      <c r="T14" s="1"/>
      <c r="U14" s="1"/>
    </row>
    <row r="15" spans="1:21" ht="12.75">
      <c r="A15" s="60" t="s">
        <v>131</v>
      </c>
      <c r="B15" s="2" t="s">
        <v>36</v>
      </c>
      <c r="C15" s="203">
        <v>1391748</v>
      </c>
      <c r="D15" s="181">
        <v>0</v>
      </c>
      <c r="E15" s="180">
        <f t="shared" si="3"/>
        <v>1391748</v>
      </c>
      <c r="F15" s="181">
        <v>1182287</v>
      </c>
      <c r="G15" s="48">
        <f t="shared" si="0"/>
        <v>209461</v>
      </c>
      <c r="H15" s="48">
        <v>0</v>
      </c>
      <c r="I15" s="48">
        <f t="shared" si="4"/>
        <v>209461</v>
      </c>
      <c r="J15" s="78">
        <f t="shared" si="1"/>
        <v>0.018407050844372896</v>
      </c>
      <c r="K15" s="29">
        <f t="shared" si="2"/>
        <v>194.75027934363413</v>
      </c>
      <c r="L15" s="72"/>
      <c r="M15" s="30"/>
      <c r="S15" s="1"/>
      <c r="T15" s="1"/>
      <c r="U15" s="1"/>
    </row>
    <row r="16" spans="1:21" ht="12.75">
      <c r="A16" s="60" t="s">
        <v>132</v>
      </c>
      <c r="B16" s="2" t="s">
        <v>37</v>
      </c>
      <c r="C16" s="203">
        <v>864111</v>
      </c>
      <c r="D16" s="181">
        <v>0</v>
      </c>
      <c r="E16" s="180">
        <f t="shared" si="3"/>
        <v>864111</v>
      </c>
      <c r="F16" s="181">
        <v>203081</v>
      </c>
      <c r="G16" s="48">
        <f t="shared" si="0"/>
        <v>661030</v>
      </c>
      <c r="H16" s="48">
        <v>0</v>
      </c>
      <c r="I16" s="48">
        <v>0</v>
      </c>
      <c r="J16" s="78">
        <f t="shared" si="1"/>
        <v>0</v>
      </c>
      <c r="K16" s="29">
        <f t="shared" si="2"/>
        <v>0</v>
      </c>
      <c r="L16" s="72"/>
      <c r="M16" s="30"/>
      <c r="S16" s="1"/>
      <c r="T16" s="1"/>
      <c r="U16" s="1"/>
    </row>
    <row r="17" spans="1:21" ht="12.75">
      <c r="A17" s="60" t="s">
        <v>133</v>
      </c>
      <c r="B17" s="2" t="s">
        <v>38</v>
      </c>
      <c r="C17" s="203">
        <v>35160718</v>
      </c>
      <c r="D17" s="181">
        <v>724686</v>
      </c>
      <c r="E17" s="180">
        <f t="shared" si="3"/>
        <v>35885404</v>
      </c>
      <c r="F17" s="181">
        <v>34532875</v>
      </c>
      <c r="G17" s="48">
        <f t="shared" si="0"/>
        <v>1352529</v>
      </c>
      <c r="H17" s="48"/>
      <c r="I17" s="48">
        <f t="shared" si="4"/>
        <v>1352529</v>
      </c>
      <c r="J17" s="78">
        <f t="shared" si="1"/>
        <v>0.11885778293567217</v>
      </c>
      <c r="K17" s="29">
        <f t="shared" si="2"/>
        <v>1257.5391150159987</v>
      </c>
      <c r="L17" s="72"/>
      <c r="M17" s="30">
        <v>1401.1</v>
      </c>
      <c r="S17" s="1"/>
      <c r="T17" s="1"/>
      <c r="U17" s="1"/>
    </row>
    <row r="18" spans="1:21" ht="12.75">
      <c r="A18" s="60" t="s">
        <v>134</v>
      </c>
      <c r="B18" s="2" t="s">
        <v>39</v>
      </c>
      <c r="C18" s="203">
        <v>2153713</v>
      </c>
      <c r="D18" s="181">
        <v>0</v>
      </c>
      <c r="E18" s="180">
        <f t="shared" si="3"/>
        <v>2153713</v>
      </c>
      <c r="F18" s="181">
        <v>1953253</v>
      </c>
      <c r="G18" s="48">
        <f t="shared" si="0"/>
        <v>200460</v>
      </c>
      <c r="H18" s="48">
        <v>0</v>
      </c>
      <c r="I18" s="48">
        <f t="shared" si="4"/>
        <v>200460</v>
      </c>
      <c r="J18" s="78">
        <f t="shared" si="1"/>
        <v>0.017616059372689858</v>
      </c>
      <c r="K18" s="29">
        <f t="shared" si="2"/>
        <v>186.38143137493324</v>
      </c>
      <c r="L18" s="72"/>
      <c r="M18" s="30"/>
      <c r="S18" s="1"/>
      <c r="T18" s="1"/>
      <c r="U18" s="1"/>
    </row>
    <row r="19" spans="1:21" ht="12.75">
      <c r="A19" s="60" t="s">
        <v>135</v>
      </c>
      <c r="B19" s="2" t="s">
        <v>40</v>
      </c>
      <c r="C19" s="203">
        <v>1005236</v>
      </c>
      <c r="D19" s="181">
        <v>0</v>
      </c>
      <c r="E19" s="180">
        <f t="shared" si="3"/>
        <v>1005236</v>
      </c>
      <c r="F19" s="181">
        <v>954860</v>
      </c>
      <c r="G19" s="48">
        <f t="shared" si="0"/>
        <v>50376</v>
      </c>
      <c r="H19" s="48">
        <v>0</v>
      </c>
      <c r="I19" s="48">
        <f t="shared" si="4"/>
        <v>50376</v>
      </c>
      <c r="J19" s="78">
        <f t="shared" si="1"/>
        <v>0.004426951047384138</v>
      </c>
      <c r="K19" s="29">
        <f t="shared" si="2"/>
        <v>46.838027471533664</v>
      </c>
      <c r="L19" s="72"/>
      <c r="M19" s="30"/>
      <c r="S19" s="1"/>
      <c r="T19" s="1"/>
      <c r="U19" s="1"/>
    </row>
    <row r="20" spans="1:13" ht="12.75">
      <c r="A20" s="60" t="s">
        <v>136</v>
      </c>
      <c r="B20" s="2" t="s">
        <v>41</v>
      </c>
      <c r="C20" s="203">
        <v>0</v>
      </c>
      <c r="D20" s="181">
        <v>0</v>
      </c>
      <c r="E20" s="180">
        <f t="shared" si="3"/>
        <v>0</v>
      </c>
      <c r="F20" s="181">
        <v>0</v>
      </c>
      <c r="G20" s="48">
        <f t="shared" si="0"/>
        <v>0</v>
      </c>
      <c r="H20" s="48">
        <v>0</v>
      </c>
      <c r="I20" s="48">
        <f t="shared" si="4"/>
        <v>0</v>
      </c>
      <c r="J20" s="78">
        <f t="shared" si="1"/>
        <v>0</v>
      </c>
      <c r="K20" s="29">
        <f t="shared" si="2"/>
        <v>0</v>
      </c>
      <c r="L20" s="72"/>
      <c r="M20" s="30"/>
    </row>
    <row r="21" spans="1:21" ht="12.75">
      <c r="A21" s="60" t="s">
        <v>137</v>
      </c>
      <c r="B21" s="2" t="s">
        <v>42</v>
      </c>
      <c r="C21" s="203">
        <v>52845</v>
      </c>
      <c r="D21" s="181">
        <v>0</v>
      </c>
      <c r="E21" s="180">
        <f t="shared" si="3"/>
        <v>52845</v>
      </c>
      <c r="F21" s="181">
        <v>52845</v>
      </c>
      <c r="G21" s="48">
        <f t="shared" si="0"/>
        <v>0</v>
      </c>
      <c r="H21" s="48">
        <v>0</v>
      </c>
      <c r="I21" s="48">
        <f t="shared" si="4"/>
        <v>0</v>
      </c>
      <c r="J21" s="78">
        <f t="shared" si="1"/>
        <v>0</v>
      </c>
      <c r="K21" s="29">
        <f t="shared" si="2"/>
        <v>0</v>
      </c>
      <c r="L21" s="72"/>
      <c r="M21" s="30"/>
      <c r="S21" s="1"/>
      <c r="T21" s="1"/>
      <c r="U21" s="1"/>
    </row>
    <row r="22" spans="1:21" ht="12.75">
      <c r="A22" s="60" t="s">
        <v>138</v>
      </c>
      <c r="B22" s="2" t="s">
        <v>43</v>
      </c>
      <c r="C22" s="203">
        <v>1375059</v>
      </c>
      <c r="D22" s="181">
        <f>239713+25971.04</f>
        <v>265684.04</v>
      </c>
      <c r="E22" s="180">
        <f t="shared" si="3"/>
        <v>1640743.04</v>
      </c>
      <c r="F22" s="181">
        <v>954289</v>
      </c>
      <c r="G22" s="48">
        <f t="shared" si="0"/>
        <v>686454.04</v>
      </c>
      <c r="H22" s="48">
        <v>0</v>
      </c>
      <c r="I22" s="48">
        <f t="shared" si="4"/>
        <v>686454.04</v>
      </c>
      <c r="J22" s="78">
        <f t="shared" si="1"/>
        <v>0.06032432966807752</v>
      </c>
      <c r="K22" s="29">
        <f t="shared" si="2"/>
        <v>638.2434727541938</v>
      </c>
      <c r="L22" s="72"/>
      <c r="M22" s="30"/>
      <c r="S22" s="1"/>
      <c r="T22" s="1"/>
      <c r="U22" s="1"/>
    </row>
    <row r="23" spans="1:21" ht="12.75">
      <c r="A23" s="60" t="s">
        <v>139</v>
      </c>
      <c r="B23" s="2" t="s">
        <v>44</v>
      </c>
      <c r="C23" s="203">
        <v>2014456</v>
      </c>
      <c r="D23" s="181">
        <v>61339.4</v>
      </c>
      <c r="E23" s="180">
        <f t="shared" si="3"/>
        <v>2075795.4</v>
      </c>
      <c r="F23" s="181">
        <v>671426</v>
      </c>
      <c r="G23" s="48">
        <f t="shared" si="0"/>
        <v>1404369.4</v>
      </c>
      <c r="H23" s="48">
        <v>0</v>
      </c>
      <c r="I23" s="48">
        <f t="shared" si="4"/>
        <v>1404369.4</v>
      </c>
      <c r="J23" s="78">
        <f t="shared" si="1"/>
        <v>0.12341342278553742</v>
      </c>
      <c r="K23" s="29">
        <f t="shared" si="2"/>
        <v>1305.7386957555432</v>
      </c>
      <c r="L23" s="72"/>
      <c r="M23" s="30"/>
      <c r="S23" s="1"/>
      <c r="T23" s="1"/>
      <c r="U23" s="1"/>
    </row>
    <row r="24" spans="1:13" ht="12.75">
      <c r="A24" s="270" t="s">
        <v>140</v>
      </c>
      <c r="B24" s="2" t="s">
        <v>45</v>
      </c>
      <c r="C24" s="203">
        <v>0</v>
      </c>
      <c r="D24" s="181">
        <v>0</v>
      </c>
      <c r="E24" s="180">
        <f t="shared" si="3"/>
        <v>0</v>
      </c>
      <c r="F24" s="181">
        <v>0</v>
      </c>
      <c r="G24" s="48">
        <f t="shared" si="0"/>
        <v>0</v>
      </c>
      <c r="H24" s="48">
        <v>0</v>
      </c>
      <c r="I24" s="48">
        <f t="shared" si="4"/>
        <v>0</v>
      </c>
      <c r="J24" s="78">
        <f t="shared" si="1"/>
        <v>0</v>
      </c>
      <c r="K24" s="29">
        <f t="shared" si="2"/>
        <v>0</v>
      </c>
      <c r="L24" s="72"/>
      <c r="M24" s="30"/>
    </row>
    <row r="25" spans="1:21" ht="12.75">
      <c r="A25" s="60" t="s">
        <v>141</v>
      </c>
      <c r="B25" s="2" t="s">
        <v>46</v>
      </c>
      <c r="C25" s="204">
        <v>2136144</v>
      </c>
      <c r="D25" s="181">
        <v>115538</v>
      </c>
      <c r="E25" s="180">
        <f t="shared" si="3"/>
        <v>2251682</v>
      </c>
      <c r="F25" s="181">
        <v>1675149</v>
      </c>
      <c r="G25" s="48">
        <f t="shared" si="0"/>
        <v>576533</v>
      </c>
      <c r="H25" s="48">
        <v>0</v>
      </c>
      <c r="I25" s="48">
        <f t="shared" si="4"/>
        <v>576533</v>
      </c>
      <c r="J25" s="78">
        <f t="shared" si="1"/>
        <v>0.05066466905275368</v>
      </c>
      <c r="K25" s="29">
        <f t="shared" si="2"/>
        <v>536.0423315119446</v>
      </c>
      <c r="L25" s="72"/>
      <c r="M25" s="30"/>
      <c r="S25" s="1"/>
      <c r="T25" s="1"/>
      <c r="U25" s="1"/>
    </row>
    <row r="26" spans="1:21" ht="12.75">
      <c r="A26" s="2" t="s">
        <v>47</v>
      </c>
      <c r="B26" s="2"/>
      <c r="C26" s="205">
        <f aca="true" t="shared" si="5" ref="C26:I26">SUM(C10:C25)</f>
        <v>109225380</v>
      </c>
      <c r="D26" s="206">
        <f t="shared" si="5"/>
        <v>8351391.44</v>
      </c>
      <c r="E26" s="206">
        <f t="shared" si="5"/>
        <v>117576771.44000001</v>
      </c>
      <c r="F26" s="206">
        <f t="shared" si="5"/>
        <v>98633767</v>
      </c>
      <c r="G26" s="51">
        <f t="shared" si="5"/>
        <v>18943004.439999998</v>
      </c>
      <c r="H26" s="51">
        <f t="shared" si="5"/>
        <v>-6902585</v>
      </c>
      <c r="I26" s="51">
        <f t="shared" si="5"/>
        <v>11379389.44</v>
      </c>
      <c r="J26" s="97">
        <f>+G26/$G$26</f>
        <v>1</v>
      </c>
      <c r="K26" s="67">
        <f t="shared" si="2"/>
        <v>10580.2</v>
      </c>
      <c r="L26" s="73"/>
      <c r="M26" s="67">
        <f>SUM(M10:M25)</f>
        <v>14307.2</v>
      </c>
      <c r="S26" s="1"/>
      <c r="T26" s="1"/>
      <c r="U26" s="1"/>
    </row>
    <row r="27" spans="3:11" ht="12.75">
      <c r="C27" s="279"/>
      <c r="D27" s="280"/>
      <c r="E27" s="280"/>
      <c r="F27" s="279"/>
      <c r="G27" s="279"/>
      <c r="H27" s="191"/>
      <c r="I27" s="191"/>
      <c r="J27" s="69"/>
      <c r="K27" s="18"/>
    </row>
    <row r="28" spans="3:11" ht="12.75">
      <c r="C28" s="191"/>
      <c r="D28" s="191"/>
      <c r="E28" s="191"/>
      <c r="F28" s="191"/>
      <c r="G28" s="191"/>
      <c r="H28" s="191"/>
      <c r="I28" s="191"/>
      <c r="J28" s="69"/>
      <c r="K28" s="18"/>
    </row>
    <row r="29" spans="3:11" ht="12.75">
      <c r="C29" s="191" t="s">
        <v>146</v>
      </c>
      <c r="D29" s="191"/>
      <c r="E29" s="191"/>
      <c r="F29" s="191"/>
      <c r="G29" s="191"/>
      <c r="H29" s="191"/>
      <c r="I29" s="191"/>
      <c r="J29" s="69"/>
      <c r="K29" s="18"/>
    </row>
    <row r="30" spans="2:11" ht="15">
      <c r="B30" s="211" t="s">
        <v>108</v>
      </c>
      <c r="C30" s="212" t="s">
        <v>150</v>
      </c>
      <c r="D30" s="191"/>
      <c r="E30" s="191"/>
      <c r="F30" s="191"/>
      <c r="G30" s="191"/>
      <c r="H30" s="191"/>
      <c r="I30" s="191"/>
      <c r="J30" s="69"/>
      <c r="K30" s="18"/>
    </row>
    <row r="31" spans="2:11" ht="12.75">
      <c r="B31" s="207" t="s">
        <v>109</v>
      </c>
      <c r="C31" s="216"/>
      <c r="D31" s="191"/>
      <c r="E31" s="191"/>
      <c r="F31" s="191"/>
      <c r="G31" s="191"/>
      <c r="H31" s="191"/>
      <c r="I31" s="191"/>
      <c r="J31" s="69"/>
      <c r="K31" s="18"/>
    </row>
    <row r="32" spans="2:11" ht="12.75">
      <c r="B32" s="207" t="s">
        <v>110</v>
      </c>
      <c r="C32" s="213">
        <v>4943600</v>
      </c>
      <c r="D32" s="191"/>
      <c r="E32" s="191"/>
      <c r="F32" s="191"/>
      <c r="G32" s="191"/>
      <c r="H32" s="191"/>
      <c r="I32" s="191"/>
      <c r="J32" s="69"/>
      <c r="K32" s="18"/>
    </row>
    <row r="33" spans="2:4" ht="12.75">
      <c r="B33" s="207" t="s">
        <v>111</v>
      </c>
      <c r="C33" s="213">
        <v>2083700</v>
      </c>
      <c r="D33" s="191"/>
    </row>
    <row r="34" spans="2:4" ht="13.5" thickBot="1">
      <c r="B34" s="207"/>
      <c r="C34" s="217">
        <f>SUM(C32:C33)</f>
        <v>7027300</v>
      </c>
      <c r="D34" s="216"/>
    </row>
    <row r="35" spans="2:4" ht="13.5" thickTop="1">
      <c r="B35" s="207" t="s">
        <v>117</v>
      </c>
      <c r="C35" s="216"/>
      <c r="D35" s="191"/>
    </row>
    <row r="36" spans="2:4" ht="12.75">
      <c r="B36" s="207" t="s">
        <v>151</v>
      </c>
      <c r="C36" s="216">
        <f>2337+551-938</f>
        <v>1950</v>
      </c>
      <c r="D36" s="191"/>
    </row>
    <row r="37" spans="2:4" ht="12.75">
      <c r="B37" s="207" t="s">
        <v>152</v>
      </c>
      <c r="C37" s="216">
        <f>18351+2949-5775</f>
        <v>15525</v>
      </c>
      <c r="D37" s="191">
        <f>C37+C36</f>
        <v>17475</v>
      </c>
    </row>
    <row r="38" spans="2:4" ht="12.75">
      <c r="B38" s="207"/>
      <c r="C38" s="216"/>
      <c r="D38" s="191"/>
    </row>
    <row r="39" spans="2:4" ht="12.75">
      <c r="B39" s="207" t="s">
        <v>118</v>
      </c>
      <c r="C39" s="216"/>
      <c r="D39" s="191"/>
    </row>
    <row r="40" spans="2:4" ht="12.75">
      <c r="B40" s="207" t="s">
        <v>151</v>
      </c>
      <c r="C40" s="216">
        <f>837+1113</f>
        <v>1950</v>
      </c>
      <c r="D40" s="191"/>
    </row>
    <row r="41" spans="2:4" ht="12.75">
      <c r="B41" s="207" t="s">
        <v>152</v>
      </c>
      <c r="C41" s="218">
        <f>94174+30694-19578</f>
        <v>105290</v>
      </c>
      <c r="D41" s="191">
        <f>C41+C40</f>
        <v>107240</v>
      </c>
    </row>
    <row r="42" spans="2:4" ht="11.25" customHeight="1">
      <c r="B42" s="207"/>
      <c r="C42" s="216"/>
      <c r="D42" s="191"/>
    </row>
    <row r="43" spans="2:4" ht="12.75">
      <c r="B43" s="207" t="s">
        <v>113</v>
      </c>
      <c r="C43" s="216">
        <f>C41+C40+C37+C36</f>
        <v>124715</v>
      </c>
      <c r="D43" s="191"/>
    </row>
    <row r="44" spans="2:11" ht="8.25" customHeight="1">
      <c r="B44" s="207"/>
      <c r="C44" s="216"/>
      <c r="D44" s="191"/>
      <c r="E44" s="191"/>
      <c r="F44" s="191"/>
      <c r="G44" s="191"/>
      <c r="H44" s="191"/>
      <c r="I44" s="191"/>
      <c r="J44" s="69"/>
      <c r="K44" s="18"/>
    </row>
    <row r="45" spans="2:11" ht="13.5" thickBot="1">
      <c r="B45" s="207" t="s">
        <v>112</v>
      </c>
      <c r="C45" s="217">
        <f>C34-C43</f>
        <v>6902585</v>
      </c>
      <c r="D45" s="191"/>
      <c r="E45" s="191"/>
      <c r="F45" s="191"/>
      <c r="G45" s="191"/>
      <c r="H45" s="191"/>
      <c r="I45" s="191"/>
      <c r="J45" s="69"/>
      <c r="K45" s="18"/>
    </row>
    <row r="46" spans="2:11" s="66" customFormat="1" ht="13.5" thickTop="1">
      <c r="B46" s="153"/>
      <c r="D46" s="231"/>
      <c r="E46" s="231"/>
      <c r="F46" s="231"/>
      <c r="G46" s="231"/>
      <c r="H46" s="153"/>
      <c r="I46" s="191"/>
      <c r="J46" s="229"/>
      <c r="K46" s="65"/>
    </row>
    <row r="47" spans="2:11" s="66" customFormat="1" ht="12.75">
      <c r="B47" s="153"/>
      <c r="C47" s="230"/>
      <c r="D47" s="153"/>
      <c r="E47" s="153"/>
      <c r="F47" s="153"/>
      <c r="G47" s="153"/>
      <c r="H47" s="153"/>
      <c r="I47" s="191"/>
      <c r="J47" s="229"/>
      <c r="K47" s="65"/>
    </row>
    <row r="48" spans="2:15" s="66" customFormat="1" ht="12.75">
      <c r="B48" s="153"/>
      <c r="C48" s="230"/>
      <c r="D48" s="153"/>
      <c r="E48" s="153"/>
      <c r="F48" s="153"/>
      <c r="G48" s="153"/>
      <c r="H48" s="153"/>
      <c r="I48" s="153"/>
      <c r="J48" s="153"/>
      <c r="K48" s="153"/>
      <c r="L48" s="153"/>
      <c r="M48" s="153"/>
      <c r="N48" s="153"/>
      <c r="O48" s="153"/>
    </row>
    <row r="49" spans="2:15" s="66" customFormat="1" ht="12.75">
      <c r="B49" s="153"/>
      <c r="C49" s="230"/>
      <c r="D49" s="153"/>
      <c r="E49" s="153"/>
      <c r="F49" s="153"/>
      <c r="G49" s="153"/>
      <c r="H49" s="153"/>
      <c r="I49" s="153"/>
      <c r="J49" s="153"/>
      <c r="K49" s="153"/>
      <c r="L49" s="153"/>
      <c r="M49" s="153"/>
      <c r="N49" s="153"/>
      <c r="O49" s="153"/>
    </row>
    <row r="50" spans="2:15" s="66" customFormat="1" ht="12.75">
      <c r="B50" s="153"/>
      <c r="C50" s="153"/>
      <c r="D50" s="153"/>
      <c r="E50" s="153"/>
      <c r="F50" s="153"/>
      <c r="G50" s="153"/>
      <c r="H50" s="153"/>
      <c r="I50" s="153"/>
      <c r="J50" s="153"/>
      <c r="K50" s="153"/>
      <c r="L50" s="153"/>
      <c r="M50" s="153"/>
      <c r="N50" s="153"/>
      <c r="O50" s="153"/>
    </row>
    <row r="51" spans="2:15" s="66" customFormat="1" ht="12.75">
      <c r="B51" s="153"/>
      <c r="C51" s="188"/>
      <c r="D51" s="153"/>
      <c r="E51" s="153"/>
      <c r="F51" s="153"/>
      <c r="G51" s="153"/>
      <c r="H51" s="153"/>
      <c r="I51" s="153"/>
      <c r="J51" s="153"/>
      <c r="K51" s="153"/>
      <c r="L51" s="153"/>
      <c r="M51" s="153"/>
      <c r="N51" s="153"/>
      <c r="O51" s="153"/>
    </row>
    <row r="52" spans="2:8" s="66" customFormat="1" ht="12.75">
      <c r="B52" s="153"/>
      <c r="C52" s="188"/>
      <c r="D52" s="153"/>
      <c r="E52" s="153"/>
      <c r="F52" s="153"/>
      <c r="G52" s="153"/>
      <c r="H52" s="153"/>
    </row>
    <row r="53" spans="1:8" s="66" customFormat="1" ht="12.75">
      <c r="A53" s="153"/>
      <c r="B53" s="153"/>
      <c r="C53" s="153"/>
      <c r="D53" s="153"/>
      <c r="E53" s="153"/>
      <c r="F53" s="153"/>
      <c r="G53" s="153"/>
      <c r="H53" s="153"/>
    </row>
    <row r="54" spans="1:8" s="66" customFormat="1" ht="12.75">
      <c r="A54" s="153"/>
      <c r="B54" s="153"/>
      <c r="C54" s="153"/>
      <c r="D54" s="153"/>
      <c r="E54" s="153"/>
      <c r="F54" s="153"/>
      <c r="G54" s="153"/>
      <c r="H54" s="153"/>
    </row>
    <row r="55" spans="1:8" s="66" customFormat="1" ht="12.75">
      <c r="A55" s="153"/>
      <c r="B55" s="153"/>
      <c r="C55" s="188"/>
      <c r="D55" s="153"/>
      <c r="E55" s="153"/>
      <c r="F55" s="153"/>
      <c r="G55" s="153"/>
      <c r="H55" s="153"/>
    </row>
    <row r="56" spans="1:8" s="66" customFormat="1" ht="12.75">
      <c r="A56" s="188"/>
      <c r="B56" s="153"/>
      <c r="C56" s="153"/>
      <c r="D56" s="153"/>
      <c r="E56" s="153"/>
      <c r="F56" s="153"/>
      <c r="G56" s="153"/>
      <c r="H56" s="153"/>
    </row>
    <row r="57" spans="1:6" s="66" customFormat="1" ht="12.75">
      <c r="A57" s="188"/>
      <c r="B57" s="188"/>
      <c r="C57" s="153"/>
      <c r="D57" s="153"/>
      <c r="E57" s="153"/>
      <c r="F57" s="153"/>
    </row>
    <row r="58" spans="1:6" s="66" customFormat="1" ht="12.75">
      <c r="A58" s="188"/>
      <c r="B58" s="188"/>
      <c r="C58" s="153"/>
      <c r="D58" s="153"/>
      <c r="E58" s="153"/>
      <c r="F58" s="153"/>
    </row>
    <row r="59" spans="1:6" s="66" customFormat="1" ht="12.75">
      <c r="A59" s="188"/>
      <c r="B59" s="188"/>
      <c r="C59" s="153"/>
      <c r="D59" s="153"/>
      <c r="E59" s="153"/>
      <c r="F59" s="153"/>
    </row>
    <row r="60" spans="1:6" s="66" customFormat="1" ht="12.75">
      <c r="A60" s="188"/>
      <c r="B60" s="188"/>
      <c r="C60" s="153"/>
      <c r="D60" s="153"/>
      <c r="E60" s="153"/>
      <c r="F60" s="153"/>
    </row>
    <row r="61" spans="1:6" s="66" customFormat="1" ht="12.75">
      <c r="A61" s="188"/>
      <c r="B61" s="188"/>
      <c r="C61" s="153"/>
      <c r="D61" s="153"/>
      <c r="E61" s="153"/>
      <c r="F61" s="153"/>
    </row>
    <row r="62" spans="1:6" s="66" customFormat="1" ht="12.75">
      <c r="A62" s="188"/>
      <c r="B62" s="188"/>
      <c r="C62" s="153"/>
      <c r="D62" s="153"/>
      <c r="E62" s="153"/>
      <c r="F62" s="153"/>
    </row>
    <row r="63" spans="3:11" s="66" customFormat="1" ht="12.75">
      <c r="C63" s="191"/>
      <c r="D63" s="191"/>
      <c r="E63" s="191"/>
      <c r="F63" s="191"/>
      <c r="G63" s="191"/>
      <c r="H63" s="191"/>
      <c r="I63" s="191"/>
      <c r="J63" s="229"/>
      <c r="K63" s="65"/>
    </row>
    <row r="64" spans="1:15" s="66" customFormat="1" ht="12.75">
      <c r="A64" s="230"/>
      <c r="B64" s="230"/>
      <c r="C64" s="230"/>
      <c r="D64" s="230"/>
      <c r="E64" s="230"/>
      <c r="F64" s="153"/>
      <c r="G64" s="153"/>
      <c r="H64" s="153"/>
      <c r="I64" s="153"/>
      <c r="J64" s="153"/>
      <c r="K64" s="153"/>
      <c r="L64" s="153"/>
      <c r="M64" s="153"/>
      <c r="N64" s="153"/>
      <c r="O64" s="153"/>
    </row>
    <row r="65" spans="1:15" s="66" customFormat="1" ht="12.75">
      <c r="A65" s="230"/>
      <c r="B65" s="230"/>
      <c r="C65" s="230"/>
      <c r="D65" s="230"/>
      <c r="E65" s="230"/>
      <c r="F65" s="153"/>
      <c r="G65" s="153"/>
      <c r="H65" s="153"/>
      <c r="I65" s="153"/>
      <c r="J65" s="153"/>
      <c r="K65" s="153"/>
      <c r="L65" s="153"/>
      <c r="M65" s="153"/>
      <c r="N65" s="153"/>
      <c r="O65" s="153"/>
    </row>
    <row r="66" spans="1:15" s="66" customFormat="1" ht="12.75">
      <c r="A66" s="230"/>
      <c r="B66" s="230"/>
      <c r="C66" s="230"/>
      <c r="D66" s="230"/>
      <c r="E66" s="230"/>
      <c r="F66" s="153"/>
      <c r="G66" s="153"/>
      <c r="H66" s="153"/>
      <c r="I66" s="153"/>
      <c r="J66" s="153"/>
      <c r="K66" s="153"/>
      <c r="L66" s="153"/>
      <c r="M66" s="153"/>
      <c r="N66" s="153"/>
      <c r="O66" s="153"/>
    </row>
    <row r="67" spans="1:15" s="66" customFormat="1" ht="12.75">
      <c r="A67" s="153"/>
      <c r="B67" s="153"/>
      <c r="C67" s="153"/>
      <c r="D67" s="153"/>
      <c r="E67" s="153"/>
      <c r="F67" s="153"/>
      <c r="G67" s="153"/>
      <c r="H67" s="153"/>
      <c r="I67" s="153"/>
      <c r="J67" s="153"/>
      <c r="K67" s="153"/>
      <c r="L67" s="153"/>
      <c r="M67" s="153"/>
      <c r="N67" s="153"/>
      <c r="O67" s="153"/>
    </row>
    <row r="68" spans="1:6" s="66" customFormat="1" ht="12.75">
      <c r="A68" s="188"/>
      <c r="B68" s="153"/>
      <c r="C68" s="231"/>
      <c r="D68" s="231"/>
      <c r="E68" s="231"/>
      <c r="F68" s="231"/>
    </row>
    <row r="69" spans="1:6" s="66" customFormat="1" ht="12.75">
      <c r="A69" s="153"/>
      <c r="B69" s="153"/>
      <c r="C69" s="153"/>
      <c r="D69" s="153"/>
      <c r="E69" s="153"/>
      <c r="F69" s="153"/>
    </row>
    <row r="70" spans="1:6" s="66" customFormat="1" ht="12.75">
      <c r="A70" s="153"/>
      <c r="B70" s="153"/>
      <c r="C70" s="153"/>
      <c r="D70" s="153"/>
      <c r="E70" s="153"/>
      <c r="F70" s="153"/>
    </row>
    <row r="71" spans="1:6" s="66" customFormat="1" ht="12.75">
      <c r="A71" s="153"/>
      <c r="B71" s="153"/>
      <c r="C71" s="153"/>
      <c r="D71" s="153"/>
      <c r="E71" s="153"/>
      <c r="F71" s="153"/>
    </row>
    <row r="72" spans="1:6" s="66" customFormat="1" ht="12.75">
      <c r="A72" s="188"/>
      <c r="B72" s="188"/>
      <c r="C72" s="153"/>
      <c r="D72" s="153"/>
      <c r="E72" s="153"/>
      <c r="F72" s="153"/>
    </row>
    <row r="73" spans="1:6" s="66" customFormat="1" ht="12.75">
      <c r="A73" s="188"/>
      <c r="B73" s="188"/>
      <c r="C73" s="153"/>
      <c r="D73" s="153"/>
      <c r="E73" s="153"/>
      <c r="F73" s="153"/>
    </row>
    <row r="74" spans="1:6" s="66" customFormat="1" ht="12.75">
      <c r="A74" s="188"/>
      <c r="B74" s="188"/>
      <c r="C74" s="153"/>
      <c r="D74" s="153"/>
      <c r="E74" s="153"/>
      <c r="F74" s="153"/>
    </row>
    <row r="75" spans="1:6" s="66" customFormat="1" ht="12.75">
      <c r="A75" s="188"/>
      <c r="B75" s="188"/>
      <c r="C75" s="153"/>
      <c r="D75" s="153"/>
      <c r="E75" s="153"/>
      <c r="F75" s="153"/>
    </row>
    <row r="76" spans="1:6" s="66" customFormat="1" ht="12.75">
      <c r="A76" s="188"/>
      <c r="B76" s="188"/>
      <c r="C76" s="153"/>
      <c r="D76" s="153"/>
      <c r="E76" s="153"/>
      <c r="F76" s="153"/>
    </row>
    <row r="77" spans="1:6" s="66" customFormat="1" ht="12.75">
      <c r="A77" s="188"/>
      <c r="B77" s="188"/>
      <c r="C77" s="153"/>
      <c r="D77" s="153"/>
      <c r="E77" s="153"/>
      <c r="F77" s="153"/>
    </row>
    <row r="78" spans="1:6" s="66" customFormat="1" ht="12.75">
      <c r="A78" s="188"/>
      <c r="B78" s="188"/>
      <c r="C78" s="153"/>
      <c r="D78" s="153"/>
      <c r="E78" s="153"/>
      <c r="F78" s="153"/>
    </row>
    <row r="79" spans="3:11" s="66" customFormat="1" ht="12.75">
      <c r="C79" s="191"/>
      <c r="D79" s="191"/>
      <c r="E79" s="191"/>
      <c r="F79" s="191"/>
      <c r="G79" s="191"/>
      <c r="H79" s="191"/>
      <c r="I79" s="191"/>
      <c r="J79" s="229"/>
      <c r="K79" s="65"/>
    </row>
    <row r="80" spans="3:11" s="66" customFormat="1" ht="12.75">
      <c r="C80" s="191"/>
      <c r="D80" s="191"/>
      <c r="E80" s="191"/>
      <c r="F80" s="191"/>
      <c r="G80" s="191"/>
      <c r="H80" s="191"/>
      <c r="I80" s="191"/>
      <c r="J80" s="229"/>
      <c r="K80" s="65"/>
    </row>
    <row r="81" spans="1:15" s="66" customFormat="1" ht="12.75">
      <c r="A81" s="230"/>
      <c r="B81" s="230"/>
      <c r="C81" s="230"/>
      <c r="D81" s="230"/>
      <c r="E81" s="230"/>
      <c r="F81" s="153"/>
      <c r="G81" s="153"/>
      <c r="H81" s="153"/>
      <c r="I81" s="153"/>
      <c r="J81" s="153"/>
      <c r="K81" s="153"/>
      <c r="L81" s="153"/>
      <c r="M81" s="153"/>
      <c r="N81" s="153"/>
      <c r="O81" s="153"/>
    </row>
    <row r="82" spans="1:15" s="66" customFormat="1" ht="12.75">
      <c r="A82" s="230"/>
      <c r="B82" s="230"/>
      <c r="C82" s="230"/>
      <c r="D82" s="230"/>
      <c r="E82" s="230"/>
      <c r="F82" s="153"/>
      <c r="G82" s="153"/>
      <c r="H82" s="153"/>
      <c r="I82" s="153"/>
      <c r="J82" s="153"/>
      <c r="K82" s="153"/>
      <c r="L82" s="153"/>
      <c r="M82" s="153"/>
      <c r="N82" s="153"/>
      <c r="O82" s="153"/>
    </row>
    <row r="83" spans="1:15" s="66" customFormat="1" ht="12.75">
      <c r="A83" s="230"/>
      <c r="B83" s="230"/>
      <c r="C83" s="230"/>
      <c r="D83" s="230"/>
      <c r="E83" s="230"/>
      <c r="F83" s="153"/>
      <c r="G83" s="153"/>
      <c r="H83" s="153"/>
      <c r="I83" s="153"/>
      <c r="J83" s="153"/>
      <c r="K83" s="153"/>
      <c r="L83" s="153"/>
      <c r="M83" s="153"/>
      <c r="N83" s="153"/>
      <c r="O83" s="153"/>
    </row>
    <row r="84" spans="1:15" s="66" customFormat="1" ht="12.75">
      <c r="A84" s="153"/>
      <c r="B84" s="153"/>
      <c r="C84" s="153"/>
      <c r="D84" s="153"/>
      <c r="E84" s="153"/>
      <c r="F84" s="153"/>
      <c r="G84" s="153"/>
      <c r="H84" s="153"/>
      <c r="I84" s="153"/>
      <c r="J84" s="153"/>
      <c r="K84" s="153"/>
      <c r="L84" s="153"/>
      <c r="M84" s="153"/>
      <c r="N84" s="153"/>
      <c r="O84" s="153"/>
    </row>
    <row r="85" spans="1:6" s="66" customFormat="1" ht="12.75">
      <c r="A85" s="188"/>
      <c r="B85" s="153"/>
      <c r="C85" s="231"/>
      <c r="D85" s="231"/>
      <c r="E85" s="231"/>
      <c r="F85" s="231"/>
    </row>
    <row r="86" spans="1:6" s="66" customFormat="1" ht="12.75">
      <c r="A86" s="153"/>
      <c r="B86" s="153"/>
      <c r="C86" s="153"/>
      <c r="D86" s="153"/>
      <c r="E86" s="153"/>
      <c r="F86" s="153"/>
    </row>
    <row r="87" spans="1:6" s="66" customFormat="1" ht="12.75">
      <c r="A87" s="153"/>
      <c r="B87" s="153"/>
      <c r="C87" s="153"/>
      <c r="D87" s="153"/>
      <c r="E87" s="153"/>
      <c r="F87" s="153"/>
    </row>
    <row r="88" spans="1:6" s="66" customFormat="1" ht="12.75">
      <c r="A88" s="153"/>
      <c r="B88" s="153"/>
      <c r="C88" s="153"/>
      <c r="D88" s="153"/>
      <c r="E88" s="153"/>
      <c r="F88" s="153"/>
    </row>
    <row r="89" spans="1:6" s="66" customFormat="1" ht="12.75">
      <c r="A89" s="188"/>
      <c r="B89" s="188"/>
      <c r="C89" s="153"/>
      <c r="D89" s="153"/>
      <c r="E89" s="153"/>
      <c r="F89" s="153"/>
    </row>
    <row r="90" spans="1:9" s="66" customFormat="1" ht="12.75">
      <c r="A90" s="188"/>
      <c r="B90" s="188"/>
      <c r="C90" s="153"/>
      <c r="D90" s="153"/>
      <c r="E90" s="153"/>
      <c r="F90" s="153"/>
      <c r="G90" s="209"/>
      <c r="H90" s="209"/>
      <c r="I90" s="209"/>
    </row>
    <row r="91" spans="1:9" s="66" customFormat="1" ht="12.75">
      <c r="A91" s="188"/>
      <c r="B91" s="188"/>
      <c r="C91" s="153"/>
      <c r="D91" s="153"/>
      <c r="E91" s="153"/>
      <c r="F91" s="153"/>
      <c r="G91" s="209"/>
      <c r="H91" s="209"/>
      <c r="I91" s="209"/>
    </row>
    <row r="92" spans="1:9" s="66" customFormat="1" ht="12.75">
      <c r="A92" s="188"/>
      <c r="B92" s="188"/>
      <c r="C92" s="153"/>
      <c r="D92" s="153"/>
      <c r="E92" s="153"/>
      <c r="F92" s="153"/>
      <c r="G92" s="209"/>
      <c r="H92" s="209"/>
      <c r="I92" s="209"/>
    </row>
    <row r="93" spans="1:9" s="66" customFormat="1" ht="12.75">
      <c r="A93" s="188"/>
      <c r="B93" s="188"/>
      <c r="C93" s="153"/>
      <c r="D93" s="153"/>
      <c r="E93" s="153"/>
      <c r="F93" s="153"/>
      <c r="G93" s="209"/>
      <c r="H93" s="209"/>
      <c r="I93" s="209"/>
    </row>
    <row r="94" spans="1:9" s="66" customFormat="1" ht="12.75">
      <c r="A94" s="188"/>
      <c r="B94" s="188"/>
      <c r="C94" s="153"/>
      <c r="D94" s="153"/>
      <c r="E94" s="153"/>
      <c r="F94" s="153"/>
      <c r="G94" s="209"/>
      <c r="H94" s="209"/>
      <c r="I94" s="209"/>
    </row>
    <row r="95" spans="1:9" s="66" customFormat="1" ht="12.75">
      <c r="A95" s="188"/>
      <c r="B95" s="188"/>
      <c r="C95" s="153"/>
      <c r="D95" s="153"/>
      <c r="E95" s="153"/>
      <c r="F95" s="153"/>
      <c r="G95" s="209"/>
      <c r="H95" s="209"/>
      <c r="I95" s="209"/>
    </row>
    <row r="96" spans="3:11" s="66" customFormat="1" ht="12.75">
      <c r="C96" s="191"/>
      <c r="D96" s="191"/>
      <c r="E96" s="191"/>
      <c r="F96" s="191"/>
      <c r="G96" s="209"/>
      <c r="H96" s="209"/>
      <c r="I96" s="209"/>
      <c r="J96" s="232"/>
      <c r="K96" s="65"/>
    </row>
    <row r="97" spans="2:11" s="66" customFormat="1" ht="12.75">
      <c r="B97" s="208"/>
      <c r="C97" s="191"/>
      <c r="D97" s="191"/>
      <c r="E97" s="191"/>
      <c r="F97" s="191"/>
      <c r="G97" s="191"/>
      <c r="H97" s="191"/>
      <c r="I97" s="191"/>
      <c r="J97" s="229"/>
      <c r="K97" s="65"/>
    </row>
    <row r="98" spans="2:11" s="66" customFormat="1" ht="12.75">
      <c r="B98" s="208"/>
      <c r="C98" s="191"/>
      <c r="D98" s="191"/>
      <c r="E98" s="191"/>
      <c r="F98" s="191"/>
      <c r="G98" s="191"/>
      <c r="H98" s="191"/>
      <c r="I98" s="191"/>
      <c r="J98" s="229"/>
      <c r="K98" s="65"/>
    </row>
    <row r="99" spans="3:11" s="66" customFormat="1" ht="12.75">
      <c r="C99" s="191"/>
      <c r="D99" s="191"/>
      <c r="E99" s="191"/>
      <c r="F99" s="191"/>
      <c r="G99" s="191"/>
      <c r="H99" s="191"/>
      <c r="I99" s="191"/>
      <c r="J99" s="229"/>
      <c r="K99" s="65"/>
    </row>
    <row r="100" spans="3:11" s="66" customFormat="1" ht="12.75">
      <c r="C100" s="191"/>
      <c r="D100" s="191"/>
      <c r="E100" s="191"/>
      <c r="F100" s="191"/>
      <c r="G100" s="191"/>
      <c r="H100" s="191"/>
      <c r="I100" s="191"/>
      <c r="J100" s="229"/>
      <c r="K100" s="65"/>
    </row>
    <row r="101" spans="3:11" s="66" customFormat="1" ht="12.75">
      <c r="C101" s="191"/>
      <c r="D101" s="191"/>
      <c r="E101" s="191"/>
      <c r="F101" s="191"/>
      <c r="G101" s="191"/>
      <c r="H101" s="191"/>
      <c r="I101" s="191"/>
      <c r="J101" s="229"/>
      <c r="K101" s="65"/>
    </row>
    <row r="102" spans="3:11" s="66" customFormat="1" ht="12.75">
      <c r="C102" s="191"/>
      <c r="D102" s="191"/>
      <c r="E102" s="191"/>
      <c r="F102" s="191"/>
      <c r="G102" s="191"/>
      <c r="H102" s="191"/>
      <c r="I102" s="191"/>
      <c r="J102" s="229"/>
      <c r="K102" s="65"/>
    </row>
    <row r="103" spans="3:11" s="66" customFormat="1" ht="12.75">
      <c r="C103" s="191"/>
      <c r="D103" s="191"/>
      <c r="E103" s="191"/>
      <c r="F103" s="191"/>
      <c r="G103" s="191"/>
      <c r="H103" s="191"/>
      <c r="I103" s="191"/>
      <c r="J103" s="229"/>
      <c r="K103" s="65"/>
    </row>
    <row r="104" spans="3:11" s="66" customFormat="1" ht="12.75">
      <c r="C104" s="191"/>
      <c r="D104" s="191"/>
      <c r="E104" s="191"/>
      <c r="F104" s="191"/>
      <c r="G104" s="191"/>
      <c r="H104" s="191"/>
      <c r="I104" s="191"/>
      <c r="J104" s="229"/>
      <c r="K104" s="65"/>
    </row>
    <row r="105" spans="3:11" s="66" customFormat="1" ht="12.75">
      <c r="C105" s="191"/>
      <c r="D105" s="191"/>
      <c r="E105" s="191"/>
      <c r="F105" s="191"/>
      <c r="G105" s="191"/>
      <c r="H105" s="191"/>
      <c r="I105" s="191"/>
      <c r="J105" s="229"/>
      <c r="K105" s="65"/>
    </row>
    <row r="106" spans="3:11" s="66" customFormat="1" ht="12.75">
      <c r="C106" s="177"/>
      <c r="D106" s="177"/>
      <c r="E106" s="178"/>
      <c r="F106" s="182"/>
      <c r="G106" s="177"/>
      <c r="H106" s="177"/>
      <c r="I106" s="177"/>
      <c r="K106" s="233"/>
    </row>
    <row r="107" spans="3:9" s="66" customFormat="1" ht="12.75">
      <c r="C107" s="48"/>
      <c r="D107" s="48"/>
      <c r="E107" s="65"/>
      <c r="F107" s="48"/>
      <c r="G107" s="117"/>
      <c r="H107" s="117"/>
      <c r="I107" s="117"/>
    </row>
    <row r="108" spans="3:10" s="66" customFormat="1" ht="12.75">
      <c r="C108" s="65"/>
      <c r="D108" s="65"/>
      <c r="E108" s="65"/>
      <c r="F108" s="65"/>
      <c r="G108" s="48"/>
      <c r="H108" s="48"/>
      <c r="I108" s="48"/>
      <c r="J108" s="65"/>
    </row>
    <row r="109" spans="3:9" s="66" customFormat="1" ht="12.75">
      <c r="C109" s="48"/>
      <c r="D109" s="48"/>
      <c r="E109" s="48"/>
      <c r="F109" s="48"/>
      <c r="G109" s="48"/>
      <c r="H109" s="48"/>
      <c r="I109" s="48"/>
    </row>
    <row r="110" s="66" customFormat="1" ht="12.75"/>
    <row r="111" spans="2:9" s="66" customFormat="1" ht="15">
      <c r="B111" s="234"/>
      <c r="C111" s="235"/>
      <c r="D111" s="235"/>
      <c r="E111" s="183"/>
      <c r="F111" s="235"/>
      <c r="G111" s="184"/>
      <c r="H111" s="184"/>
      <c r="I111" s="184"/>
    </row>
    <row r="112" spans="2:9" s="66" customFormat="1" ht="12.75">
      <c r="B112" s="234"/>
      <c r="C112" s="236"/>
      <c r="D112" s="236"/>
      <c r="E112" s="236"/>
      <c r="F112" s="236"/>
      <c r="G112" s="236"/>
      <c r="H112" s="236"/>
      <c r="I112" s="236"/>
    </row>
    <row r="113" spans="2:9" s="66" customFormat="1" ht="12.75">
      <c r="B113" s="237"/>
      <c r="C113" s="236"/>
      <c r="D113" s="236"/>
      <c r="E113" s="236"/>
      <c r="F113" s="236"/>
      <c r="G113" s="236"/>
      <c r="H113" s="236"/>
      <c r="I113" s="236"/>
    </row>
    <row r="114" spans="2:9" s="66" customFormat="1" ht="12.75">
      <c r="B114" s="234"/>
      <c r="C114" s="238"/>
      <c r="D114" s="238"/>
      <c r="E114" s="238"/>
      <c r="F114" s="238"/>
      <c r="G114" s="238"/>
      <c r="H114" s="238"/>
      <c r="I114" s="238"/>
    </row>
    <row r="115" spans="3:6" s="66" customFormat="1" ht="12.75">
      <c r="C115" s="153"/>
      <c r="D115" s="153"/>
      <c r="E115" s="153"/>
      <c r="F115" s="153"/>
    </row>
    <row r="116" spans="3:16" s="66" customFormat="1" ht="12.75">
      <c r="C116" s="179"/>
      <c r="D116" s="179"/>
      <c r="E116" s="180"/>
      <c r="F116" s="179"/>
      <c r="G116" s="179"/>
      <c r="H116" s="179"/>
      <c r="I116" s="179"/>
      <c r="M116" s="153"/>
      <c r="N116" s="153"/>
      <c r="O116" s="153"/>
      <c r="P116" s="153"/>
    </row>
    <row r="117" spans="3:9" s="66" customFormat="1" ht="12.75">
      <c r="C117" s="179"/>
      <c r="D117" s="179"/>
      <c r="E117" s="180"/>
      <c r="F117" s="179"/>
      <c r="G117" s="179"/>
      <c r="H117" s="179"/>
      <c r="I117" s="179"/>
    </row>
    <row r="118" spans="3:9" s="66" customFormat="1" ht="12.75">
      <c r="C118" s="179"/>
      <c r="D118" s="179"/>
      <c r="E118" s="179"/>
      <c r="F118" s="179"/>
      <c r="G118" s="179"/>
      <c r="H118" s="179"/>
      <c r="I118" s="179"/>
    </row>
    <row r="119" s="66" customFormat="1" ht="12.75"/>
    <row r="120" spans="3:9" s="66" customFormat="1" ht="12.75">
      <c r="C120" s="65"/>
      <c r="D120" s="65"/>
      <c r="E120" s="65"/>
      <c r="F120" s="65"/>
      <c r="G120" s="65"/>
      <c r="H120" s="65"/>
      <c r="I120" s="65"/>
    </row>
    <row r="121" spans="3:9" s="66" customFormat="1" ht="12.75">
      <c r="C121" s="48"/>
      <c r="D121" s="48"/>
      <c r="E121" s="48"/>
      <c r="F121" s="48"/>
      <c r="G121" s="48"/>
      <c r="H121" s="48"/>
      <c r="I121" s="48"/>
    </row>
    <row r="122" s="66" customFormat="1" ht="12.75"/>
    <row r="123" s="66" customFormat="1" ht="12.75"/>
    <row r="124" spans="3:9" s="66" customFormat="1" ht="12.75">
      <c r="C124" s="65"/>
      <c r="D124" s="65"/>
      <c r="E124" s="48"/>
      <c r="F124" s="65"/>
      <c r="G124" s="117"/>
      <c r="H124" s="117"/>
      <c r="I124" s="117"/>
    </row>
    <row r="125" s="66" customFormat="1" ht="12.75"/>
    <row r="126" s="66" customFormat="1" ht="12.75"/>
    <row r="127" s="66" customFormat="1" ht="12.75"/>
    <row r="128" spans="1:15" s="153" customFormat="1" ht="11.25">
      <c r="A128" s="188"/>
      <c r="C128" s="231"/>
      <c r="D128" s="231"/>
      <c r="E128" s="231"/>
      <c r="F128" s="231"/>
      <c r="G128" s="231"/>
      <c r="H128" s="231"/>
      <c r="I128" s="231"/>
      <c r="J128" s="231"/>
      <c r="K128" s="231"/>
      <c r="L128" s="231"/>
      <c r="M128" s="231"/>
      <c r="N128" s="231"/>
      <c r="O128" s="231"/>
    </row>
    <row r="129" s="153" customFormat="1" ht="11.25"/>
    <row r="130" s="153" customFormat="1" ht="11.25"/>
    <row r="131" s="153" customFormat="1" ht="11.25"/>
    <row r="132" spans="1:2" s="153" customFormat="1" ht="11.25">
      <c r="A132" s="188"/>
      <c r="B132" s="188"/>
    </row>
    <row r="133" spans="1:15" s="66" customFormat="1" ht="12.75">
      <c r="A133" s="188"/>
      <c r="B133" s="188"/>
      <c r="C133" s="153"/>
      <c r="D133" s="153"/>
      <c r="E133" s="153"/>
      <c r="F133" s="153"/>
      <c r="G133" s="153"/>
      <c r="H133" s="153"/>
      <c r="I133" s="153"/>
      <c r="J133" s="153"/>
      <c r="K133" s="153"/>
      <c r="L133" s="153"/>
      <c r="M133" s="153"/>
      <c r="N133" s="153"/>
      <c r="O133" s="153"/>
    </row>
    <row r="134" s="66" customFormat="1" ht="12.75"/>
    <row r="135" s="66" customFormat="1" ht="12.75"/>
    <row r="136" s="66" customFormat="1" ht="12.75"/>
    <row r="137" s="66" customFormat="1" ht="12.75"/>
    <row r="138" s="66" customFormat="1" ht="12.75"/>
    <row r="139" s="66" customFormat="1" ht="12.75"/>
    <row r="140" s="66" customFormat="1" ht="12.75"/>
    <row r="141" s="66" customFormat="1" ht="12.75"/>
    <row r="142" s="66" customFormat="1" ht="12.75"/>
    <row r="143" s="66" customFormat="1" ht="12.75"/>
    <row r="144" s="66" customFormat="1" ht="12.75"/>
    <row r="145" s="66" customFormat="1" ht="12.75"/>
    <row r="146" s="66" customFormat="1" ht="12.75"/>
    <row r="147" s="66" customFormat="1" ht="12.75"/>
    <row r="148" s="66" customFormat="1" ht="12.75"/>
    <row r="149" s="66" customFormat="1" ht="12.75"/>
    <row r="150" s="66" customFormat="1" ht="12.75"/>
    <row r="151" s="66" customFormat="1" ht="12.75"/>
    <row r="152" s="66" customFormat="1" ht="12.75"/>
    <row r="153" s="66" customFormat="1" ht="12.75"/>
    <row r="154" s="66" customFormat="1" ht="12.75"/>
    <row r="155" s="66" customFormat="1" ht="12.75"/>
    <row r="156" s="66" customFormat="1" ht="12.75"/>
    <row r="157" s="66" customFormat="1" ht="12.75"/>
    <row r="158" s="66" customFormat="1" ht="12.75"/>
    <row r="159" s="66" customFormat="1" ht="12.75"/>
    <row r="160" s="66" customFormat="1" ht="12.75"/>
    <row r="161" s="66" customFormat="1" ht="12.75"/>
    <row r="162" s="66" customFormat="1" ht="12.75"/>
    <row r="163" s="66" customFormat="1" ht="12.75"/>
    <row r="164" s="66" customFormat="1" ht="12.75"/>
    <row r="165" s="66" customFormat="1" ht="12.75"/>
    <row r="166" s="66" customFormat="1" ht="12.75"/>
    <row r="167" s="66" customFormat="1" ht="12.75"/>
    <row r="168" s="66" customFormat="1" ht="12.75"/>
    <row r="169" s="66" customFormat="1" ht="12.75"/>
    <row r="170" s="66" customFormat="1" ht="12.75"/>
    <row r="171" s="66" customFormat="1" ht="12.75"/>
    <row r="172" s="66" customFormat="1" ht="12.75"/>
    <row r="173" s="66" customFormat="1" ht="12.75"/>
    <row r="174" s="66" customFormat="1" ht="12.75"/>
    <row r="175" s="66" customFormat="1" ht="12.75"/>
    <row r="176" s="66" customFormat="1" ht="12.75"/>
    <row r="177" s="66" customFormat="1" ht="12.75"/>
    <row r="178" s="66" customFormat="1" ht="12.75"/>
    <row r="179" s="66" customFormat="1" ht="12.75"/>
    <row r="180" s="66" customFormat="1" ht="12.75"/>
    <row r="181" s="66" customFormat="1" ht="12.75"/>
    <row r="182" s="66" customFormat="1" ht="12.75"/>
    <row r="183" s="66" customFormat="1" ht="12.75"/>
    <row r="184" s="66" customFormat="1" ht="12.75"/>
    <row r="185" s="66" customFormat="1" ht="12.75"/>
    <row r="186" s="66" customFormat="1" ht="12.75"/>
    <row r="187" s="66" customFormat="1" ht="12.75"/>
    <row r="188" s="66" customFormat="1" ht="12.75"/>
    <row r="189" s="66" customFormat="1" ht="12.75"/>
    <row r="190" s="66" customFormat="1" ht="12.75"/>
    <row r="191" s="66" customFormat="1" ht="12.75"/>
    <row r="192" s="66" customFormat="1" ht="12.75"/>
    <row r="193" s="66" customFormat="1" ht="12.75"/>
    <row r="194" s="66" customFormat="1" ht="12.75"/>
    <row r="195" s="66" customFormat="1" ht="12.75"/>
    <row r="196" s="66" customFormat="1" ht="12.75"/>
    <row r="197" s="66" customFormat="1" ht="12.75"/>
    <row r="198" s="66" customFormat="1" ht="12.75"/>
    <row r="199" s="66" customFormat="1" ht="12.75"/>
    <row r="200" s="66" customFormat="1" ht="12.75"/>
    <row r="201" s="66" customFormat="1" ht="12.75"/>
    <row r="202" s="66" customFormat="1" ht="12.75"/>
    <row r="203" s="66" customFormat="1" ht="12.75"/>
    <row r="204" s="66" customFormat="1" ht="12.75"/>
    <row r="205" s="66" customFormat="1" ht="12.75"/>
    <row r="206" s="66" customFormat="1" ht="12.75"/>
    <row r="207" s="66" customFormat="1" ht="12.75"/>
    <row r="208" s="66" customFormat="1" ht="12.75"/>
    <row r="209" s="66" customFormat="1" ht="12.75"/>
    <row r="210" s="66" customFormat="1" ht="12.75"/>
    <row r="211" s="66" customFormat="1" ht="12.75"/>
    <row r="212" s="66" customFormat="1" ht="12.75"/>
    <row r="213" s="66" customFormat="1" ht="12.75"/>
    <row r="214" s="66" customFormat="1" ht="12.75"/>
    <row r="215" s="66" customFormat="1" ht="12.75"/>
    <row r="216" s="66" customFormat="1" ht="12.75"/>
    <row r="217" s="66" customFormat="1" ht="12.75"/>
    <row r="218" s="66" customFormat="1" ht="12.75"/>
    <row r="219" s="66" customFormat="1" ht="12.75"/>
    <row r="220" s="66" customFormat="1" ht="12.75"/>
    <row r="221" s="66" customFormat="1" ht="12.75"/>
    <row r="222" s="66" customFormat="1" ht="12.75"/>
    <row r="223" s="66" customFormat="1" ht="12.75"/>
    <row r="224" s="66" customFormat="1" ht="12.75"/>
    <row r="225" s="66" customFormat="1" ht="12.75"/>
    <row r="226" s="66" customFormat="1" ht="12.75"/>
    <row r="227" s="66" customFormat="1" ht="12.75"/>
    <row r="228" s="66" customFormat="1" ht="12.75"/>
    <row r="229" s="66" customFormat="1" ht="12.75"/>
    <row r="230" s="66" customFormat="1" ht="12.75"/>
    <row r="231" s="66" customFormat="1" ht="12.75"/>
    <row r="232" s="66" customFormat="1" ht="12.75"/>
    <row r="233" s="66" customFormat="1" ht="12.75"/>
    <row r="234" s="66" customFormat="1" ht="12.75"/>
    <row r="235" s="66" customFormat="1" ht="12.75"/>
    <row r="236" s="66" customFormat="1" ht="12.75"/>
    <row r="237" s="66" customFormat="1" ht="12.75"/>
    <row r="238" s="66" customFormat="1" ht="12.75"/>
  </sheetData>
  <sheetProtection/>
  <mergeCells count="2">
    <mergeCell ref="C5:J5"/>
    <mergeCell ref="C27:G27"/>
  </mergeCells>
  <printOptions/>
  <pageMargins left="0.48" right="0.45" top="1" bottom="1" header="0.5" footer="0.5"/>
  <pageSetup fitToHeight="1" fitToWidth="1" horizontalDpi="600" verticalDpi="600" orientation="landscape" scale="83" r:id="rId3"/>
  <headerFooter alignWithMargins="0">
    <oddFooter>&amp;L&amp;8&amp;D
&amp;F
&amp;A</oddFooter>
  </headerFooter>
  <legacyDrawing r:id="rId2"/>
</worksheet>
</file>

<file path=xl/worksheets/sheet7.xml><?xml version="1.0" encoding="utf-8"?>
<worksheet xmlns="http://schemas.openxmlformats.org/spreadsheetml/2006/main" xmlns:r="http://schemas.openxmlformats.org/officeDocument/2006/relationships">
  <dimension ref="A1:I31"/>
  <sheetViews>
    <sheetView zoomScalePageLayoutView="0" workbookViewId="0" topLeftCell="A1">
      <selection activeCell="A2" sqref="A2:E2"/>
    </sheetView>
  </sheetViews>
  <sheetFormatPr defaultColWidth="9.140625" defaultRowHeight="12.75"/>
  <cols>
    <col min="1" max="1" width="3.140625" style="0" customWidth="1"/>
    <col min="2" max="2" width="20.28125" style="0" customWidth="1"/>
    <col min="3" max="3" width="11.28125" style="0" bestFit="1" customWidth="1"/>
    <col min="4" max="4" width="10.28125" style="0" bestFit="1" customWidth="1"/>
    <col min="5" max="5" width="11.28125" style="0" bestFit="1" customWidth="1"/>
    <col min="6" max="6" width="2.140625" style="1" customWidth="1"/>
    <col min="7" max="7" width="2.57421875" style="0" customWidth="1"/>
    <col min="8" max="8" width="9.28125" style="0" bestFit="1" customWidth="1"/>
    <col min="9" max="10" width="11.28125" style="0" bestFit="1" customWidth="1"/>
  </cols>
  <sheetData>
    <row r="1" spans="1:7" ht="12.75">
      <c r="A1" s="281" t="s">
        <v>177</v>
      </c>
      <c r="B1" s="281"/>
      <c r="C1" s="281"/>
      <c r="D1" s="281"/>
      <c r="E1" s="281"/>
      <c r="F1" s="116"/>
      <c r="G1" s="116"/>
    </row>
    <row r="2" spans="1:7" ht="12.75">
      <c r="A2" s="281"/>
      <c r="B2" s="281"/>
      <c r="C2" s="281"/>
      <c r="D2" s="281"/>
      <c r="E2" s="281"/>
      <c r="F2" s="116"/>
      <c r="G2" s="116"/>
    </row>
    <row r="3" ht="12.75"/>
    <row r="4" ht="12.75"/>
    <row r="5" ht="12.75" customHeight="1">
      <c r="C5" s="120"/>
    </row>
    <row r="6" spans="1:5" ht="12.75">
      <c r="A6" s="2" t="s">
        <v>7</v>
      </c>
      <c r="B6" s="2"/>
      <c r="C6" s="282"/>
      <c r="D6" s="283"/>
      <c r="E6" s="284"/>
    </row>
    <row r="7" spans="1:5" ht="12.75">
      <c r="A7" s="2"/>
      <c r="B7" s="5"/>
      <c r="C7" s="93" t="s">
        <v>114</v>
      </c>
      <c r="D7" s="34"/>
      <c r="E7" s="98" t="s">
        <v>10</v>
      </c>
    </row>
    <row r="8" spans="1:5" ht="12.75">
      <c r="A8" s="2"/>
      <c r="B8" s="5"/>
      <c r="C8" s="19" t="s">
        <v>58</v>
      </c>
      <c r="D8" s="85" t="s">
        <v>17</v>
      </c>
      <c r="E8" s="99">
        <f>+'Grad Income'!B29</f>
        <v>1145.7949999999998</v>
      </c>
    </row>
    <row r="9" spans="1:6" ht="12.75">
      <c r="A9" s="7" t="s">
        <v>23</v>
      </c>
      <c r="B9" s="8"/>
      <c r="C9" s="20" t="s">
        <v>13</v>
      </c>
      <c r="D9" s="13" t="s">
        <v>25</v>
      </c>
      <c r="E9" s="114" t="s">
        <v>59</v>
      </c>
      <c r="F9" s="47"/>
    </row>
    <row r="10" spans="1:8" ht="12.75">
      <c r="A10" s="58" t="s">
        <v>126</v>
      </c>
      <c r="B10" s="2" t="s">
        <v>32</v>
      </c>
      <c r="C10" s="185">
        <v>22288</v>
      </c>
      <c r="D10" s="62">
        <f>+C10/$C$25</f>
        <v>0.020713234890946047</v>
      </c>
      <c r="E10" s="115">
        <f>+$E$8*D10</f>
        <v>23.73312097187152</v>
      </c>
      <c r="F10" s="47"/>
      <c r="H10" s="122"/>
    </row>
    <row r="11" spans="1:8" ht="12.75">
      <c r="A11" s="60" t="s">
        <v>127</v>
      </c>
      <c r="B11" s="2" t="s">
        <v>142</v>
      </c>
      <c r="C11" s="186">
        <f>155294-'Grad Distribution'!C43</f>
        <v>30579</v>
      </c>
      <c r="D11" s="78">
        <f>+C11/$C$25</f>
        <v>0.028418431879497448</v>
      </c>
      <c r="E11" s="29">
        <f aca="true" t="shared" si="0" ref="E11:E24">+$E$8*D11</f>
        <v>32.561697155368776</v>
      </c>
      <c r="H11" s="122"/>
    </row>
    <row r="12" spans="1:8" ht="12.75">
      <c r="A12" s="60" t="s">
        <v>128</v>
      </c>
      <c r="B12" s="2" t="s">
        <v>33</v>
      </c>
      <c r="C12" s="186">
        <v>148641</v>
      </c>
      <c r="D12" s="78">
        <f aca="true" t="shared" si="1" ref="D12:D24">+C12/$C$25</f>
        <v>0.13813872700220348</v>
      </c>
      <c r="E12" s="29">
        <f t="shared" si="0"/>
        <v>158.27866270548972</v>
      </c>
      <c r="H12" s="122"/>
    </row>
    <row r="13" spans="1:8" ht="12.75">
      <c r="A13" s="60" t="s">
        <v>129</v>
      </c>
      <c r="B13" s="2" t="s">
        <v>34</v>
      </c>
      <c r="C13" s="186">
        <v>137171</v>
      </c>
      <c r="D13" s="78">
        <f t="shared" si="1"/>
        <v>0.1274791431813514</v>
      </c>
      <c r="E13" s="29">
        <f t="shared" si="0"/>
        <v>146.0649648614765</v>
      </c>
      <c r="H13" s="122"/>
    </row>
    <row r="14" spans="1:8" ht="12.75">
      <c r="A14" s="60" t="s">
        <v>130</v>
      </c>
      <c r="B14" s="2" t="s">
        <v>35</v>
      </c>
      <c r="C14" s="186">
        <v>155170</v>
      </c>
      <c r="D14" s="78">
        <f t="shared" si="1"/>
        <v>0.14420641861217237</v>
      </c>
      <c r="E14" s="29">
        <f t="shared" si="0"/>
        <v>165.230993413734</v>
      </c>
      <c r="H14" s="122"/>
    </row>
    <row r="15" spans="1:8" ht="12.75">
      <c r="A15" s="60" t="s">
        <v>131</v>
      </c>
      <c r="B15" s="2" t="s">
        <v>36</v>
      </c>
      <c r="C15" s="186">
        <v>1539</v>
      </c>
      <c r="D15" s="78">
        <f t="shared" si="1"/>
        <v>0.001430261508307877</v>
      </c>
      <c r="E15" s="29">
        <f t="shared" si="0"/>
        <v>1.6387864849116238</v>
      </c>
      <c r="H15" s="122"/>
    </row>
    <row r="16" spans="1:8" ht="12.75">
      <c r="A16" s="60" t="s">
        <v>132</v>
      </c>
      <c r="B16" s="2" t="s">
        <v>37</v>
      </c>
      <c r="C16" s="186">
        <v>0</v>
      </c>
      <c r="D16" s="78">
        <f t="shared" si="1"/>
        <v>0</v>
      </c>
      <c r="E16" s="29">
        <f t="shared" si="0"/>
        <v>0</v>
      </c>
      <c r="H16" s="122"/>
    </row>
    <row r="17" spans="1:8" ht="12.75">
      <c r="A17" s="60" t="s">
        <v>133</v>
      </c>
      <c r="B17" s="2" t="s">
        <v>38</v>
      </c>
      <c r="C17" s="186">
        <v>75752</v>
      </c>
      <c r="D17" s="78">
        <f t="shared" si="1"/>
        <v>0.07039972045311131</v>
      </c>
      <c r="E17" s="29">
        <f t="shared" si="0"/>
        <v>80.66364769657267</v>
      </c>
      <c r="H17" s="122"/>
    </row>
    <row r="18" spans="1:8" ht="12.75">
      <c r="A18" s="60" t="s">
        <v>134</v>
      </c>
      <c r="B18" s="2" t="s">
        <v>39</v>
      </c>
      <c r="C18" s="186">
        <v>11116</v>
      </c>
      <c r="D18" s="78">
        <f t="shared" si="1"/>
        <v>0.010330595793599975</v>
      </c>
      <c r="E18" s="29">
        <f t="shared" si="0"/>
        <v>11.836745007327883</v>
      </c>
      <c r="H18" s="122"/>
    </row>
    <row r="19" spans="1:8" ht="12.75">
      <c r="A19" s="60" t="s">
        <v>135</v>
      </c>
      <c r="B19" s="2" t="s">
        <v>40</v>
      </c>
      <c r="C19" s="186">
        <v>9627</v>
      </c>
      <c r="D19" s="78">
        <f t="shared" si="1"/>
        <v>0.008946801520779682</v>
      </c>
      <c r="E19" s="29">
        <f t="shared" si="0"/>
        <v>10.251200448501754</v>
      </c>
      <c r="H19" s="122"/>
    </row>
    <row r="20" spans="1:8" ht="12.75">
      <c r="A20" s="60" t="s">
        <v>137</v>
      </c>
      <c r="B20" s="6" t="s">
        <v>42</v>
      </c>
      <c r="C20" s="186">
        <v>0</v>
      </c>
      <c r="D20" s="78">
        <f t="shared" si="1"/>
        <v>0</v>
      </c>
      <c r="E20" s="29">
        <f t="shared" si="0"/>
        <v>0</v>
      </c>
      <c r="H20" s="122"/>
    </row>
    <row r="21" spans="1:8" ht="12.75">
      <c r="A21" s="60" t="s">
        <v>138</v>
      </c>
      <c r="B21" s="2" t="s">
        <v>43</v>
      </c>
      <c r="C21" s="186">
        <v>2188</v>
      </c>
      <c r="D21" s="78">
        <f t="shared" si="1"/>
        <v>0.002033406224936735</v>
      </c>
      <c r="E21" s="29">
        <f t="shared" si="0"/>
        <v>2.329866685501386</v>
      </c>
      <c r="H21" s="122"/>
    </row>
    <row r="22" spans="1:8" ht="12.75">
      <c r="A22" s="60" t="s">
        <v>139</v>
      </c>
      <c r="B22" s="2" t="s">
        <v>44</v>
      </c>
      <c r="C22" s="186">
        <v>360813</v>
      </c>
      <c r="D22" s="78">
        <f t="shared" si="1"/>
        <v>0.33531965275964265</v>
      </c>
      <c r="E22" s="29">
        <f t="shared" si="0"/>
        <v>384.2075815337347</v>
      </c>
      <c r="H22" s="122"/>
    </row>
    <row r="23" spans="1:8" ht="12.75">
      <c r="A23" s="270" t="s">
        <v>140</v>
      </c>
      <c r="B23" s="2" t="s">
        <v>45</v>
      </c>
      <c r="C23" s="186">
        <v>0</v>
      </c>
      <c r="D23" s="78">
        <f t="shared" si="1"/>
        <v>0</v>
      </c>
      <c r="E23" s="29">
        <v>0</v>
      </c>
      <c r="H23" s="122"/>
    </row>
    <row r="24" spans="1:8" ht="12.75">
      <c r="A24" s="60" t="s">
        <v>141</v>
      </c>
      <c r="B24" s="2" t="s">
        <v>46</v>
      </c>
      <c r="C24" s="187">
        <v>121143</v>
      </c>
      <c r="D24" s="78">
        <f t="shared" si="1"/>
        <v>0.11258360617345103</v>
      </c>
      <c r="E24" s="102">
        <f t="shared" si="0"/>
        <v>128.9977330355093</v>
      </c>
      <c r="F24" s="113"/>
      <c r="H24" s="122"/>
    </row>
    <row r="25" spans="2:6" ht="12.75">
      <c r="B25" s="2"/>
      <c r="C25" s="187">
        <f>SUM(C10:C24)</f>
        <v>1076027</v>
      </c>
      <c r="D25" s="94">
        <f>SUM(D10:D24)</f>
        <v>1</v>
      </c>
      <c r="E25" s="67">
        <f>SUM(E10:E24)</f>
        <v>1145.7949999999998</v>
      </c>
      <c r="F25" s="70"/>
    </row>
    <row r="27" spans="1:2" ht="12.75">
      <c r="A27" s="2" t="s">
        <v>115</v>
      </c>
      <c r="B27" s="219" t="s">
        <v>153</v>
      </c>
    </row>
    <row r="28" spans="8:9" ht="12.75">
      <c r="H28" s="66"/>
      <c r="I28" s="66"/>
    </row>
    <row r="29" spans="3:9" ht="12.75">
      <c r="C29" s="189"/>
      <c r="D29" s="189"/>
      <c r="E29" s="189"/>
      <c r="F29" s="190"/>
      <c r="G29" s="190"/>
      <c r="H29" s="189"/>
      <c r="I29" s="189"/>
    </row>
    <row r="30" spans="3:9" ht="12.75">
      <c r="C30" s="189"/>
      <c r="D30" s="189"/>
      <c r="E30" s="189"/>
      <c r="F30" s="190"/>
      <c r="G30" s="190"/>
      <c r="H30" s="189"/>
      <c r="I30" s="189"/>
    </row>
    <row r="31" spans="3:9" ht="12.75">
      <c r="C31" s="190"/>
      <c r="D31" s="190"/>
      <c r="E31" s="190"/>
      <c r="F31" s="190"/>
      <c r="G31" s="190"/>
      <c r="H31" s="190"/>
      <c r="I31" s="190"/>
    </row>
  </sheetData>
  <sheetProtection/>
  <mergeCells count="3">
    <mergeCell ref="A1:E1"/>
    <mergeCell ref="A2:E2"/>
    <mergeCell ref="C6:E6"/>
  </mergeCells>
  <printOptions/>
  <pageMargins left="0.75" right="0.75" top="1" bottom="1" header="0.5" footer="0.5"/>
  <pageSetup horizontalDpi="600" verticalDpi="600" orientation="portrait" r:id="rId3"/>
  <headerFooter alignWithMargins="0">
    <oddFooter>&amp;L&amp;8&amp;D
&amp;F
&amp;A</oddFooter>
  </headerFooter>
  <legacyDrawing r:id="rId2"/>
</worksheet>
</file>

<file path=xl/worksheets/sheet8.xml><?xml version="1.0" encoding="utf-8"?>
<worksheet xmlns="http://schemas.openxmlformats.org/spreadsheetml/2006/main" xmlns:r="http://schemas.openxmlformats.org/officeDocument/2006/relationships">
  <dimension ref="A1:F8"/>
  <sheetViews>
    <sheetView zoomScalePageLayoutView="0" workbookViewId="0" topLeftCell="A1">
      <selection activeCell="D4" sqref="D4"/>
    </sheetView>
  </sheetViews>
  <sheetFormatPr defaultColWidth="8.8515625" defaultRowHeight="12.75"/>
  <cols>
    <col min="1" max="1" width="11.00390625" style="1" bestFit="1" customWidth="1"/>
    <col min="2" max="2" width="8.8515625" style="1" customWidth="1"/>
    <col min="3" max="3" width="1.1484375" style="1" customWidth="1"/>
    <col min="4" max="4" width="8.8515625" style="1" customWidth="1"/>
    <col min="5" max="5" width="1.7109375" style="1" customWidth="1"/>
    <col min="6" max="16384" width="8.8515625" style="1" customWidth="1"/>
  </cols>
  <sheetData>
    <row r="1" spans="2:4" ht="12.75">
      <c r="B1" s="124"/>
      <c r="D1" s="124"/>
    </row>
    <row r="2" spans="1:6" ht="12.75">
      <c r="A2" s="109"/>
      <c r="B2" s="155" t="s">
        <v>154</v>
      </c>
      <c r="C2" s="109"/>
      <c r="D2" s="156" t="s">
        <v>90</v>
      </c>
      <c r="E2" s="109"/>
      <c r="F2" s="109"/>
    </row>
    <row r="3" spans="1:6" ht="15">
      <c r="A3" s="109"/>
      <c r="B3" s="157" t="s">
        <v>104</v>
      </c>
      <c r="C3" s="109"/>
      <c r="D3" s="87" t="s">
        <v>5</v>
      </c>
      <c r="E3" s="109"/>
      <c r="F3" s="111" t="s">
        <v>91</v>
      </c>
    </row>
    <row r="4" spans="1:6" ht="12.75">
      <c r="A4" s="156" t="s">
        <v>105</v>
      </c>
      <c r="B4" s="109">
        <v>11729</v>
      </c>
      <c r="C4" s="109"/>
      <c r="D4" s="109">
        <v>314.787</v>
      </c>
      <c r="E4" s="109"/>
      <c r="F4" s="109">
        <f>+B4-D4</f>
        <v>11414.213</v>
      </c>
    </row>
    <row r="5" spans="1:6" ht="12.75">
      <c r="A5" s="109"/>
      <c r="B5" s="109"/>
      <c r="C5" s="109"/>
      <c r="D5" s="109"/>
      <c r="E5" s="109"/>
      <c r="F5" s="109"/>
    </row>
    <row r="6" spans="1:6" ht="15">
      <c r="A6" s="156" t="s">
        <v>106</v>
      </c>
      <c r="B6" s="87">
        <v>5517.835</v>
      </c>
      <c r="C6" s="109"/>
      <c r="D6" s="109"/>
      <c r="E6" s="109"/>
      <c r="F6" s="87">
        <f>+B6-D6</f>
        <v>5517.835</v>
      </c>
    </row>
    <row r="7" spans="1:6" ht="12.75">
      <c r="A7" s="109"/>
      <c r="B7" s="109"/>
      <c r="C7" s="109"/>
      <c r="D7" s="109"/>
      <c r="E7" s="109"/>
      <c r="F7" s="109"/>
    </row>
    <row r="8" spans="1:6" ht="12.75">
      <c r="A8" s="109"/>
      <c r="B8" s="158">
        <f>+B4+B6</f>
        <v>17246.835</v>
      </c>
      <c r="C8" s="109"/>
      <c r="D8" s="109"/>
      <c r="E8" s="158"/>
      <c r="F8" s="158">
        <f>+F4+F6</f>
        <v>16932.048</v>
      </c>
    </row>
    <row r="9" ht="12.75"/>
    <row r="10" ht="12.75"/>
    <row r="11" ht="12.75"/>
  </sheetData>
  <sheetProtection/>
  <printOptions/>
  <pageMargins left="0.75" right="0.75" top="1" bottom="1" header="0.5" footer="0.5"/>
  <pageSetup horizontalDpi="600" verticalDpi="600" orientation="portrait" r:id="rId3"/>
  <headerFooter alignWithMargins="0">
    <oddFooter>&amp;L&amp;8&amp;D
&amp;F
&amp;A</oddFooter>
  </headerFooter>
  <legacyDrawing r:id="rId2"/>
</worksheet>
</file>

<file path=xl/worksheets/sheet9.xml><?xml version="1.0" encoding="utf-8"?>
<worksheet xmlns="http://schemas.openxmlformats.org/spreadsheetml/2006/main" xmlns:r="http://schemas.openxmlformats.org/officeDocument/2006/relationships">
  <dimension ref="A1:G29"/>
  <sheetViews>
    <sheetView zoomScalePageLayoutView="0" workbookViewId="0" topLeftCell="A1">
      <selection activeCell="D16" sqref="D16"/>
    </sheetView>
  </sheetViews>
  <sheetFormatPr defaultColWidth="9.140625" defaultRowHeight="12.75"/>
  <cols>
    <col min="1" max="1" width="3.7109375" style="0" customWidth="1"/>
    <col min="2" max="2" width="20.28125" style="0" customWidth="1"/>
    <col min="3" max="4" width="11.421875" style="0" customWidth="1"/>
    <col min="5" max="5" width="1.28515625" style="0" customWidth="1"/>
    <col min="6" max="6" width="11.421875" style="0" customWidth="1"/>
  </cols>
  <sheetData>
    <row r="1" spans="3:7" ht="12.75">
      <c r="C1" s="1"/>
      <c r="D1" s="1"/>
      <c r="G1" s="66"/>
    </row>
    <row r="2" spans="3:7" ht="12.75">
      <c r="C2" s="1"/>
      <c r="D2" s="1"/>
      <c r="G2" s="66"/>
    </row>
    <row r="3" spans="3:7" ht="12.75">
      <c r="C3" s="1"/>
      <c r="D3" s="1"/>
      <c r="G3" s="66"/>
    </row>
    <row r="4" spans="3:7" ht="12.75">
      <c r="C4" s="1"/>
      <c r="D4" s="1"/>
      <c r="G4" s="66"/>
    </row>
    <row r="5" spans="3:7" ht="12.75">
      <c r="C5" s="278"/>
      <c r="D5" s="278"/>
      <c r="G5" s="66"/>
    </row>
    <row r="6" spans="3:7" ht="13.5" thickBot="1">
      <c r="C6" s="3" t="s">
        <v>173</v>
      </c>
      <c r="D6" s="4"/>
      <c r="E6" s="40"/>
      <c r="F6" s="43" t="s">
        <v>9</v>
      </c>
      <c r="G6" s="66"/>
    </row>
    <row r="7" spans="3:7" ht="13.5" thickTop="1">
      <c r="C7" s="15" t="s">
        <v>25</v>
      </c>
      <c r="D7" s="12" t="s">
        <v>5</v>
      </c>
      <c r="E7" s="41"/>
      <c r="F7" s="26" t="s">
        <v>60</v>
      </c>
      <c r="G7" s="66"/>
    </row>
    <row r="8" spans="3:7" ht="12.75">
      <c r="C8" s="15" t="s">
        <v>24</v>
      </c>
      <c r="D8" s="12" t="s">
        <v>61</v>
      </c>
      <c r="E8" s="41"/>
      <c r="F8" s="26" t="s">
        <v>61</v>
      </c>
      <c r="G8" s="66"/>
    </row>
    <row r="9" spans="1:7" ht="12.75">
      <c r="A9" s="7" t="s">
        <v>23</v>
      </c>
      <c r="B9" s="8"/>
      <c r="C9" s="16" t="s">
        <v>62</v>
      </c>
      <c r="D9" s="13" t="s">
        <v>63</v>
      </c>
      <c r="E9" s="42"/>
      <c r="F9" s="28" t="s">
        <v>24</v>
      </c>
      <c r="G9" s="66"/>
    </row>
    <row r="10" spans="1:7" ht="12.75">
      <c r="A10" s="58" t="s">
        <v>126</v>
      </c>
      <c r="B10" s="2" t="s">
        <v>32</v>
      </c>
      <c r="C10" s="44"/>
      <c r="D10" s="45"/>
      <c r="F10" s="30"/>
      <c r="G10" s="48"/>
    </row>
    <row r="11" spans="1:7" ht="12.75">
      <c r="A11" s="60" t="s">
        <v>127</v>
      </c>
      <c r="B11" s="2" t="s">
        <v>142</v>
      </c>
      <c r="C11" s="47"/>
      <c r="D11" s="48"/>
      <c r="F11" s="30"/>
      <c r="G11" s="48"/>
    </row>
    <row r="12" spans="1:7" ht="12.75">
      <c r="A12" s="60" t="s">
        <v>128</v>
      </c>
      <c r="B12" s="2" t="s">
        <v>33</v>
      </c>
      <c r="C12" s="47"/>
      <c r="D12" s="48"/>
      <c r="F12" s="30"/>
      <c r="G12" s="48"/>
    </row>
    <row r="13" spans="1:7" ht="12.75">
      <c r="A13" s="60" t="s">
        <v>129</v>
      </c>
      <c r="B13" s="2" t="s">
        <v>34</v>
      </c>
      <c r="C13" s="47"/>
      <c r="D13" s="48"/>
      <c r="F13" s="30"/>
      <c r="G13" s="48"/>
    </row>
    <row r="14" spans="1:7" ht="12.75">
      <c r="A14" s="60" t="s">
        <v>130</v>
      </c>
      <c r="B14" s="2" t="s">
        <v>35</v>
      </c>
      <c r="C14" s="47"/>
      <c r="D14" s="48"/>
      <c r="F14" s="30"/>
      <c r="G14" s="48"/>
    </row>
    <row r="15" spans="1:7" ht="12.75">
      <c r="A15" s="60" t="s">
        <v>131</v>
      </c>
      <c r="B15" s="2" t="s">
        <v>36</v>
      </c>
      <c r="C15" s="47"/>
      <c r="D15" s="48"/>
      <c r="F15" s="30"/>
      <c r="G15" s="48"/>
    </row>
    <row r="16" spans="1:7" ht="12.75">
      <c r="A16" s="60" t="s">
        <v>132</v>
      </c>
      <c r="B16" s="2" t="s">
        <v>37</v>
      </c>
      <c r="C16" s="47">
        <f>+'Prof Income'!F4</f>
        <v>11414.213</v>
      </c>
      <c r="D16" s="48">
        <f>(+'Prof Income'!D4)*0.95</f>
        <v>299.04765</v>
      </c>
      <c r="F16" s="95">
        <f>+C16+D16</f>
        <v>11713.26065</v>
      </c>
      <c r="G16" s="66"/>
    </row>
    <row r="17" spans="1:7" ht="12.75">
      <c r="A17" s="60" t="s">
        <v>133</v>
      </c>
      <c r="B17" s="2" t="s">
        <v>38</v>
      </c>
      <c r="C17" s="47"/>
      <c r="D17" s="48"/>
      <c r="F17" s="30"/>
      <c r="G17" s="66"/>
    </row>
    <row r="18" spans="1:7" ht="12.75">
      <c r="A18" s="60" t="s">
        <v>134</v>
      </c>
      <c r="B18" s="2" t="s">
        <v>39</v>
      </c>
      <c r="C18" s="47"/>
      <c r="D18" s="48"/>
      <c r="F18" s="30"/>
      <c r="G18" s="66"/>
    </row>
    <row r="19" spans="1:7" ht="12.75">
      <c r="A19" s="60" t="s">
        <v>135</v>
      </c>
      <c r="B19" s="2" t="s">
        <v>40</v>
      </c>
      <c r="C19" s="47">
        <f>'Prof Income'!B6</f>
        <v>5517.835</v>
      </c>
      <c r="D19" s="48"/>
      <c r="F19" s="95">
        <f>+C19+D19</f>
        <v>5517.835</v>
      </c>
      <c r="G19" s="66"/>
    </row>
    <row r="20" spans="1:7" ht="12.75">
      <c r="A20" s="60" t="s">
        <v>136</v>
      </c>
      <c r="B20" s="2" t="s">
        <v>41</v>
      </c>
      <c r="C20" s="47"/>
      <c r="D20" s="48"/>
      <c r="F20" s="30"/>
      <c r="G20" s="48"/>
    </row>
    <row r="21" spans="1:7" ht="12.75">
      <c r="A21" s="60" t="s">
        <v>137</v>
      </c>
      <c r="B21" s="2" t="s">
        <v>42</v>
      </c>
      <c r="C21" s="47"/>
      <c r="D21" s="48"/>
      <c r="F21" s="30"/>
      <c r="G21" s="48"/>
    </row>
    <row r="22" spans="1:7" ht="12.75">
      <c r="A22" s="60" t="s">
        <v>138</v>
      </c>
      <c r="B22" s="2" t="s">
        <v>43</v>
      </c>
      <c r="C22" s="47"/>
      <c r="D22" s="48"/>
      <c r="F22" s="30"/>
      <c r="G22" s="48"/>
    </row>
    <row r="23" spans="1:7" ht="12.75">
      <c r="A23" s="60" t="s">
        <v>139</v>
      </c>
      <c r="B23" s="2" t="s">
        <v>44</v>
      </c>
      <c r="C23" s="47"/>
      <c r="D23" s="48"/>
      <c r="F23" s="30"/>
      <c r="G23" s="48"/>
    </row>
    <row r="24" spans="1:7" ht="12.75">
      <c r="A24" s="270" t="s">
        <v>140</v>
      </c>
      <c r="B24" s="2" t="s">
        <v>45</v>
      </c>
      <c r="C24" s="47"/>
      <c r="D24" s="48">
        <v>0</v>
      </c>
      <c r="F24" s="95">
        <f>+C24+D24</f>
        <v>0</v>
      </c>
      <c r="G24" s="48"/>
    </row>
    <row r="25" spans="1:7" ht="12.75">
      <c r="A25" s="60" t="s">
        <v>141</v>
      </c>
      <c r="B25" s="2" t="s">
        <v>46</v>
      </c>
      <c r="C25" s="47"/>
      <c r="D25" s="48"/>
      <c r="F25" s="30"/>
      <c r="G25" s="48"/>
    </row>
    <row r="26" spans="2:7" ht="12.75">
      <c r="B26" s="2"/>
      <c r="C26" s="50">
        <f>SUM(C10:C25)</f>
        <v>16932.048</v>
      </c>
      <c r="D26" s="51">
        <f>SUM(D10:D25)</f>
        <v>299.04765</v>
      </c>
      <c r="E26" s="81"/>
      <c r="F26" s="67">
        <f>SUM(F10:F25)</f>
        <v>17231.09565</v>
      </c>
      <c r="G26" s="48"/>
    </row>
    <row r="27" spans="3:7" ht="12.75">
      <c r="C27" s="1"/>
      <c r="D27" s="1"/>
      <c r="G27" s="96"/>
    </row>
    <row r="29" spans="1:4" ht="12.75">
      <c r="A29" t="s">
        <v>157</v>
      </c>
      <c r="D29" s="1">
        <f>'Prof Income'!D4*0.05</f>
        <v>15.73935</v>
      </c>
    </row>
  </sheetData>
  <sheetProtection/>
  <mergeCells count="1">
    <mergeCell ref="C5:D5"/>
  </mergeCells>
  <printOptions/>
  <pageMargins left="0.75" right="0.75" top="1" bottom="1" header="0.5" footer="0.5"/>
  <pageSetup horizontalDpi="600" verticalDpi="600" orientation="portrait" r:id="rId1"/>
  <headerFooter alignWithMargins="0">
    <oddFooter>&amp;L&amp;8&amp;D
&amp;F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of Tuition Income - FY 06</dc:title>
  <dc:subject/>
  <dc:creator>OBFS Budgeting - University of Illinois</dc:creator>
  <cp:keywords>2006, tuition, income, distribution, budget, reform, budgeting, calculations, planning, urbana-champaign</cp:keywords>
  <dc:description/>
  <cp:lastModifiedBy>OBFS</cp:lastModifiedBy>
  <cp:lastPrinted>2005-06-06T21:32:32Z</cp:lastPrinted>
  <dcterms:created xsi:type="dcterms:W3CDTF">1998-05-29T22:12:12Z</dcterms:created>
  <dcterms:modified xsi:type="dcterms:W3CDTF">2011-01-21T20:24:00Z</dcterms:modified>
  <cp:category/>
  <cp:version/>
  <cp:contentType/>
  <cp:contentStatus/>
</cp:coreProperties>
</file>