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25" yWindow="65491" windowWidth="5925" windowHeight="6600" tabRatio="814" activeTab="0"/>
  </bookViews>
  <sheets>
    <sheet name="Table of Contents" sheetId="1" r:id="rId1"/>
    <sheet name="Undergrad Income" sheetId="2" r:id="rId2"/>
    <sheet name="UG Distribution" sheetId="3" r:id="rId3"/>
    <sheet name="UG Summer" sheetId="4" r:id="rId4"/>
    <sheet name="Grad Income" sheetId="5" r:id="rId5"/>
    <sheet name="Grad Distribution" sheetId="6" r:id="rId6"/>
    <sheet name="Grad Summer" sheetId="7" r:id="rId7"/>
    <sheet name="Prof Income" sheetId="8" r:id="rId8"/>
    <sheet name="Prof. Tuition" sheetId="9" r:id="rId9"/>
    <sheet name="Extramural" sheetId="10" r:id="rId10"/>
    <sheet name="Total Tuition" sheetId="11" r:id="rId11"/>
    <sheet name="Compare with Prior" sheetId="12" r:id="rId12"/>
  </sheets>
  <definedNames>
    <definedName name="_xlnm.Print_Area" localSheetId="10">'Total Tuition'!$A:$IV</definedName>
  </definedNames>
  <calcPr fullCalcOnLoad="1"/>
</workbook>
</file>

<file path=xl/comments10.xml><?xml version="1.0" encoding="utf-8"?>
<comments xmlns="http://schemas.openxmlformats.org/spreadsheetml/2006/main">
  <authors>
    <author>phoey</author>
  </authors>
  <commentList>
    <comment ref="M24" authorId="0">
      <text>
        <r>
          <rPr>
            <b/>
            <sz val="8"/>
            <rFont val="Tahoma"/>
            <family val="0"/>
          </rPr>
          <t>phoey:</t>
        </r>
        <r>
          <rPr>
            <sz val="8"/>
            <rFont val="Tahoma"/>
            <family val="0"/>
          </rPr>
          <t xml:space="preserve">
FY01 GIS Actual $538 x 1.03 = $554
3% used to reflect portion of FY03 tuition increase being allocated to colleges.</t>
        </r>
      </text>
    </comment>
    <comment ref="F25" authorId="0">
      <text>
        <r>
          <rPr>
            <b/>
            <sz val="8"/>
            <rFont val="Tahoma"/>
            <family val="0"/>
          </rPr>
          <t>phoey:</t>
        </r>
        <r>
          <rPr>
            <sz val="8"/>
            <rFont val="Tahoma"/>
            <family val="0"/>
          </rPr>
          <t xml:space="preserve">
FY02 Budget Reform allocation ($949,271) increased by 3%; FY02 actual YTD LEEP not available yet.
+
GIS Income for FY02 ($6,990)</t>
        </r>
      </text>
    </comment>
    <comment ref="C25" authorId="0">
      <text>
        <r>
          <rPr>
            <b/>
            <sz val="8"/>
            <rFont val="Tahoma"/>
            <family val="0"/>
          </rPr>
          <t>phoey:</t>
        </r>
        <r>
          <rPr>
            <sz val="8"/>
            <rFont val="Tahoma"/>
            <family val="0"/>
          </rPr>
          <t xml:space="preserve">
GIS tuition Only</t>
        </r>
      </text>
    </comment>
    <comment ref="K24" authorId="0">
      <text>
        <r>
          <rPr>
            <b/>
            <sz val="8"/>
            <rFont val="Tahoma"/>
            <family val="0"/>
          </rPr>
          <t>phoey:</t>
        </r>
        <r>
          <rPr>
            <sz val="8"/>
            <rFont val="Tahoma"/>
            <family val="0"/>
          </rPr>
          <t xml:space="preserve">
Equal to sum of retained fees:  $73K + $56K=$129K
and historical-model course stipends: $88.5K</t>
        </r>
      </text>
    </comment>
  </commentList>
</comments>
</file>

<file path=xl/comments11.xml><?xml version="1.0" encoding="utf-8"?>
<comments xmlns="http://schemas.openxmlformats.org/spreadsheetml/2006/main">
  <authors>
    <author>Mike Andrechak</author>
  </authors>
  <commentList>
    <comment ref="U11" authorId="0">
      <text>
        <r>
          <rPr>
            <sz val="8"/>
            <rFont val="Tahoma"/>
            <family val="2"/>
          </rPr>
          <t>See file titled "LAS-CBA Econ adj for FY03 Tuition Distribution" for details of this calculation.</t>
        </r>
      </text>
    </comment>
  </commentList>
</comments>
</file>

<file path=xl/comments2.xml><?xml version="1.0" encoding="utf-8"?>
<comments xmlns="http://schemas.openxmlformats.org/spreadsheetml/2006/main">
  <authors>
    <author>phoey</author>
  </authors>
  <commentList>
    <comment ref="C12" authorId="0">
      <text>
        <r>
          <rPr>
            <b/>
            <sz val="8"/>
            <rFont val="Tahoma"/>
            <family val="0"/>
          </rPr>
          <t>phoey:</t>
        </r>
        <r>
          <rPr>
            <sz val="8"/>
            <rFont val="Tahoma"/>
            <family val="0"/>
          </rPr>
          <t xml:space="preserve">
$3,409 SumII '01 + 846 SumI '01 (on-campus only)</t>
        </r>
      </text>
    </comment>
    <comment ref="C14" authorId="0">
      <text>
        <r>
          <rPr>
            <b/>
            <sz val="8"/>
            <rFont val="Tahoma"/>
            <family val="0"/>
          </rPr>
          <t>phoey:</t>
        </r>
        <r>
          <rPr>
            <sz val="8"/>
            <rFont val="Tahoma"/>
            <family val="0"/>
          </rPr>
          <t xml:space="preserve">
N/A--2% increment maintained at campus.</t>
        </r>
      </text>
    </comment>
    <comment ref="C6" authorId="0">
      <text>
        <r>
          <rPr>
            <b/>
            <sz val="8"/>
            <rFont val="Tahoma"/>
            <family val="0"/>
          </rPr>
          <t>phoey:</t>
        </r>
        <r>
          <rPr>
            <sz val="8"/>
            <rFont val="Tahoma"/>
            <family val="0"/>
          </rPr>
          <t xml:space="preserve">
3% Increment less 25% due to ISSC shortfall</t>
        </r>
      </text>
    </comment>
    <comment ref="C8" authorId="0">
      <text>
        <r>
          <rPr>
            <b/>
            <sz val="8"/>
            <rFont val="Tahoma"/>
            <family val="0"/>
          </rPr>
          <t>phoey:</t>
        </r>
        <r>
          <rPr>
            <sz val="8"/>
            <rFont val="Tahoma"/>
            <family val="0"/>
          </rPr>
          <t xml:space="preserve">
ISSC Funding Shortfall
</t>
        </r>
      </text>
    </comment>
  </commentList>
</comments>
</file>

<file path=xl/comments5.xml><?xml version="1.0" encoding="utf-8"?>
<comments xmlns="http://schemas.openxmlformats.org/spreadsheetml/2006/main">
  <authors>
    <author>phoey</author>
  </authors>
  <commentList>
    <comment ref="B21" authorId="0">
      <text>
        <r>
          <rPr>
            <b/>
            <sz val="8"/>
            <rFont val="Tahoma"/>
            <family val="0"/>
          </rPr>
          <t>phoey:</t>
        </r>
        <r>
          <rPr>
            <sz val="8"/>
            <rFont val="Tahoma"/>
            <family val="0"/>
          </rPr>
          <t xml:space="preserve">
3rd SumI '01 43-8-2
3rd SumII '01 992-51-17
</t>
        </r>
      </text>
    </comment>
  </commentList>
</comments>
</file>

<file path=xl/comments6.xml><?xml version="1.0" encoding="utf-8"?>
<comments xmlns="http://schemas.openxmlformats.org/spreadsheetml/2006/main">
  <authors>
    <author>Mike Andrechak</author>
    <author>phoey</author>
  </authors>
  <commentList>
    <comment ref="K11" authorId="0">
      <text>
        <r>
          <rPr>
            <sz val="8"/>
            <rFont val="Tahoma"/>
            <family val="0"/>
          </rPr>
          <t>Pat Hoey:
FY02 Tuition Distribution amount increased by 3%</t>
        </r>
      </text>
    </comment>
    <comment ref="B28" authorId="0">
      <text>
        <r>
          <rPr>
            <b/>
            <sz val="8"/>
            <rFont val="Tahoma"/>
            <family val="0"/>
          </rPr>
          <t xml:space="preserve">
 These amounts are removed from the CBA line above.
</t>
        </r>
        <r>
          <rPr>
            <sz val="8"/>
            <rFont val="Tahoma"/>
            <family val="0"/>
          </rPr>
          <t xml:space="preserve">
</t>
        </r>
      </text>
    </comment>
    <comment ref="C11" authorId="1">
      <text>
        <r>
          <rPr>
            <b/>
            <sz val="8"/>
            <rFont val="Tahoma"/>
            <family val="0"/>
          </rPr>
          <t>phoey:</t>
        </r>
        <r>
          <rPr>
            <sz val="8"/>
            <rFont val="Tahoma"/>
            <family val="0"/>
          </rPr>
          <t xml:space="preserve">
$305,500 deduction is average of 2000 and 2001 tuition received for Accy Masters programs which are being moved to self-supporting. (2000 - $124; 2001-$487)</t>
        </r>
      </text>
    </comment>
  </commentList>
</comments>
</file>

<file path=xl/comments7.xml><?xml version="1.0" encoding="utf-8"?>
<comments xmlns="http://schemas.openxmlformats.org/spreadsheetml/2006/main">
  <authors>
    <author>phoey</author>
  </authors>
  <commentList>
    <comment ref="C11" authorId="0">
      <text>
        <r>
          <rPr>
            <b/>
            <sz val="8"/>
            <rFont val="Tahoma"/>
            <family val="0"/>
          </rPr>
          <t>phoey:</t>
        </r>
        <r>
          <rPr>
            <sz val="8"/>
            <rFont val="Tahoma"/>
            <family val="0"/>
          </rPr>
          <t xml:space="preserve">
$106,000 deduction is average of Summer 00 and Summer 01 Accy Masters tuition (2000 - $52; 2001-$160)</t>
        </r>
      </text>
    </comment>
  </commentList>
</comments>
</file>

<file path=xl/comments8.xml><?xml version="1.0" encoding="utf-8"?>
<comments xmlns="http://schemas.openxmlformats.org/spreadsheetml/2006/main">
  <authors>
    <author>phoey</author>
  </authors>
  <commentList>
    <comment ref="B3" authorId="0">
      <text>
        <r>
          <rPr>
            <b/>
            <sz val="8"/>
            <rFont val="Tahoma"/>
            <family val="0"/>
          </rPr>
          <t>phoey:</t>
        </r>
        <r>
          <rPr>
            <sz val="8"/>
            <rFont val="Tahoma"/>
            <family val="0"/>
          </rPr>
          <t xml:space="preserve">
Est'd FY02 is Fall 01 7th Adj + Spring 02 CU run actual.  Law has summer income so prior year summer is added.  Vet Med has no summer income.</t>
        </r>
      </text>
    </comment>
    <comment ref="E4" authorId="0">
      <text>
        <r>
          <rPr>
            <b/>
            <sz val="8"/>
            <rFont val="Tahoma"/>
            <family val="0"/>
          </rPr>
          <t>phoey:</t>
        </r>
        <r>
          <rPr>
            <sz val="8"/>
            <rFont val="Tahoma"/>
            <family val="0"/>
          </rPr>
          <t xml:space="preserve">
Prior year summer actual x 1.03.
</t>
        </r>
      </text>
    </comment>
  </commentList>
</comments>
</file>

<file path=xl/sharedStrings.xml><?xml version="1.0" encoding="utf-8"?>
<sst xmlns="http://schemas.openxmlformats.org/spreadsheetml/2006/main" count="484" uniqueCount="167">
  <si>
    <t>Less Differential Tuition</t>
  </si>
  <si>
    <t>Plus Value of Undergrad Assistants</t>
  </si>
  <si>
    <t>Income to be distributed</t>
  </si>
  <si>
    <t>Portion based on enrollment</t>
  </si>
  <si>
    <t>Portion based on IUs</t>
  </si>
  <si>
    <t>DISTRIBUTION OF SUMMER TUITION</t>
  </si>
  <si>
    <t>Summer</t>
  </si>
  <si>
    <t>Less Summer Session Ofc.</t>
  </si>
  <si>
    <t>Amt. to be Distributed</t>
  </si>
  <si>
    <t xml:space="preserve"> </t>
  </si>
  <si>
    <t>IU Distribution</t>
  </si>
  <si>
    <t>Ac Year</t>
  </si>
  <si>
    <t>Distribute</t>
  </si>
  <si>
    <t>Program</t>
  </si>
  <si>
    <t>Differentials</t>
  </si>
  <si>
    <t>Waivers</t>
  </si>
  <si>
    <t>Undergrad</t>
  </si>
  <si>
    <t>Average</t>
  </si>
  <si>
    <t>Regular</t>
  </si>
  <si>
    <t>% of</t>
  </si>
  <si>
    <t>Differ-</t>
  </si>
  <si>
    <t>in</t>
  </si>
  <si>
    <t xml:space="preserve">From </t>
  </si>
  <si>
    <t>Assistants</t>
  </si>
  <si>
    <t>IU's</t>
  </si>
  <si>
    <t>College</t>
  </si>
  <si>
    <t>Tuition</t>
  </si>
  <si>
    <t>Total</t>
  </si>
  <si>
    <t>Reg Tuition</t>
  </si>
  <si>
    <t>entials</t>
  </si>
  <si>
    <t>(000)'s</t>
  </si>
  <si>
    <t>Campus</t>
  </si>
  <si>
    <t>in (000)'s</t>
  </si>
  <si>
    <t>by IU's</t>
  </si>
  <si>
    <t>15</t>
  </si>
  <si>
    <t>AGR, CONSUMER, &amp; ENV</t>
  </si>
  <si>
    <t>17</t>
  </si>
  <si>
    <t>COMMERCE &amp; BUSINESS</t>
  </si>
  <si>
    <t>20</t>
  </si>
  <si>
    <t>EDUCATION</t>
  </si>
  <si>
    <t>22</t>
  </si>
  <si>
    <t>ENGINEERING</t>
  </si>
  <si>
    <t>24</t>
  </si>
  <si>
    <t>FINE &amp; APPLIED ARTS</t>
  </si>
  <si>
    <t>28</t>
  </si>
  <si>
    <t>COLLEGE OF COMMUNICA</t>
  </si>
  <si>
    <t>30</t>
  </si>
  <si>
    <t>LAW</t>
  </si>
  <si>
    <t>32</t>
  </si>
  <si>
    <t>LIBERAL ARTS &amp; SCIEN</t>
  </si>
  <si>
    <t>36</t>
  </si>
  <si>
    <t>APPLIED LIFE STUDIES</t>
  </si>
  <si>
    <t>44</t>
  </si>
  <si>
    <t>VETERINARY MEDICINE</t>
  </si>
  <si>
    <t>50</t>
  </si>
  <si>
    <t>ARMED FORCES</t>
  </si>
  <si>
    <t>52</t>
  </si>
  <si>
    <t>INSTITUTE OF AVIATIO</t>
  </si>
  <si>
    <t>60</t>
  </si>
  <si>
    <t>LABOR &amp; INDUSTRIAL R</t>
  </si>
  <si>
    <t>68</t>
  </si>
  <si>
    <t>SCHOOL OF SOCIAL WOR</t>
  </si>
  <si>
    <t>73</t>
  </si>
  <si>
    <t>CEPS</t>
  </si>
  <si>
    <t>74</t>
  </si>
  <si>
    <t>LIBRARY &amp; INFORMATIO</t>
  </si>
  <si>
    <t>ALL</t>
  </si>
  <si>
    <t>Graduate</t>
  </si>
  <si>
    <t>Estimated Summer Income</t>
  </si>
  <si>
    <t>Less CEPS</t>
  </si>
  <si>
    <t>%</t>
  </si>
  <si>
    <t>&amp; Regular</t>
  </si>
  <si>
    <t>From</t>
  </si>
  <si>
    <t>of</t>
  </si>
  <si>
    <t>Self-Suppt</t>
  </si>
  <si>
    <t>less Waivers</t>
  </si>
  <si>
    <t>Reg. Tuition</t>
  </si>
  <si>
    <t>Programs</t>
  </si>
  <si>
    <t>Summ. Tuition</t>
  </si>
  <si>
    <t>Net of</t>
  </si>
  <si>
    <t xml:space="preserve"> Tuition</t>
  </si>
  <si>
    <t>and Summ.</t>
  </si>
  <si>
    <t>Session</t>
  </si>
  <si>
    <t>in Budget</t>
  </si>
  <si>
    <t>Share</t>
  </si>
  <si>
    <t>TOTAL</t>
  </si>
  <si>
    <t>COMBINED</t>
  </si>
  <si>
    <t>AVG.</t>
  </si>
  <si>
    <t>EXTRAMURAL</t>
  </si>
  <si>
    <t>INCOME</t>
  </si>
  <si>
    <t>STIPENDS</t>
  </si>
  <si>
    <t>NET</t>
  </si>
  <si>
    <t>NET INCOME</t>
  </si>
  <si>
    <t>(000)</t>
  </si>
  <si>
    <t>Correspond.</t>
  </si>
  <si>
    <t>&amp; CORRESP.</t>
  </si>
  <si>
    <t>Undergraduate Tuition</t>
  </si>
  <si>
    <t>Graduate Tuition</t>
  </si>
  <si>
    <t>Based</t>
  </si>
  <si>
    <t>Self-</t>
  </si>
  <si>
    <t>Budgeted</t>
  </si>
  <si>
    <t>Corespond. &amp;</t>
  </si>
  <si>
    <t>on College</t>
  </si>
  <si>
    <t>Differential</t>
  </si>
  <si>
    <t>Based on</t>
  </si>
  <si>
    <t>Less UG</t>
  </si>
  <si>
    <t>Total UG</t>
  </si>
  <si>
    <t>Supporting</t>
  </si>
  <si>
    <t>Professional</t>
  </si>
  <si>
    <t>Extramural</t>
  </si>
  <si>
    <t>of Enrollment</t>
  </si>
  <si>
    <t>programs</t>
  </si>
  <si>
    <t>Income</t>
  </si>
  <si>
    <t>Avg. two prior years</t>
  </si>
  <si>
    <t>Less Summer session</t>
  </si>
  <si>
    <t>LAS/CBA</t>
  </si>
  <si>
    <t>Econ</t>
  </si>
  <si>
    <t>less</t>
  </si>
  <si>
    <t>Net</t>
  </si>
  <si>
    <t>Additional</t>
  </si>
  <si>
    <t>Eng &amp; LAS</t>
  </si>
  <si>
    <t>Distribution of Tuition Income</t>
  </si>
  <si>
    <t>This file contains 9 spreadsheets which are used to determine the distribution of tuition income to colleges using Budget Reform rules.  Use the tabs at the bottom of the page to access the spreadsheets.</t>
  </si>
  <si>
    <t>The worksheets:</t>
  </si>
  <si>
    <t>Fifty percent of UG income is distributed on the basis of IUs.  Again, the source of the IU data is  DMI.  Source data is available both on their and OBA's web sites.  Each college receives income based on its share of total IUs.</t>
  </si>
  <si>
    <t>This sheet also contains the distribution of differential tuition income.  The average of the prior two years is used as the amount to be distributed.  Special adjustments are made for increases in differential tuition.</t>
  </si>
  <si>
    <t>IUs</t>
  </si>
  <si>
    <r>
      <t>UG Summer</t>
    </r>
    <r>
      <rPr>
        <sz val="10"/>
        <rFont val="Arial"/>
        <family val="0"/>
      </rPr>
      <t>.  Estimated UG summer income is distributed based on the average IUs for the two prior summers.</t>
    </r>
  </si>
  <si>
    <r>
      <t>Grad Summer.</t>
    </r>
    <r>
      <rPr>
        <sz val="10"/>
        <rFont val="Arial"/>
        <family val="0"/>
      </rPr>
      <t xml:space="preserve">  Projected income is distributed based on each colleges share of net income for the prior two summers.</t>
    </r>
  </si>
  <si>
    <r>
      <t>Total Tuition.</t>
    </r>
    <r>
      <rPr>
        <sz val="10"/>
        <rFont val="Arial"/>
        <family val="0"/>
      </rPr>
      <t xml:space="preserve">  This table provides a summary of tuition distributions from the previous worksheets in this file.</t>
    </r>
  </si>
  <si>
    <r>
      <t>Grad Distribution.</t>
    </r>
    <r>
      <rPr>
        <sz val="10"/>
        <rFont val="Arial"/>
        <family val="0"/>
      </rPr>
      <t xml:space="preserve">  This sheet is used to determine the amount of graduate income received by colleges.  Projected income is distributed based on each colleges share of net tuition revenue.  Net revenue is determined by averaging the two prior years of academic year tuition assessments for both regular and differential tuition.  The value of waivers is then subtracted from  assessments, leaving the net or collected tuition.  MBA and self-supporting programs are removed from these numbers, since actual earnings, in the year that they are received, are assigned to those programs.  For other all other programs, estimated income is distributed based on each colleges share of net tuition.</t>
    </r>
  </si>
  <si>
    <r>
      <t>Prof Income.</t>
    </r>
    <r>
      <rPr>
        <sz val="10"/>
        <rFont val="Arial"/>
        <family val="0"/>
      </rPr>
      <t xml:space="preserve">  Current year professional income is increased by the percentage increase for tuition, resulting in the estimated income for the coming year.  Actual earnings will be compare to projections and budgets will be accordingly adjusted during the spring semester.</t>
    </r>
  </si>
  <si>
    <r>
      <t>Prof Tuition.</t>
    </r>
    <r>
      <rPr>
        <sz val="10"/>
        <rFont val="Arial"/>
        <family val="0"/>
      </rPr>
      <t xml:space="preserve">  This table shows the assignment of professional tuition to Law and VM.</t>
    </r>
  </si>
  <si>
    <r>
      <t xml:space="preserve">Extramural. </t>
    </r>
    <r>
      <rPr>
        <sz val="10"/>
        <rFont val="Arial"/>
        <family val="0"/>
      </rPr>
      <t xml:space="preserve"> Extramural income, less stipends paid by CEPS, is shown for the prior years.  The average of these years is distributed by college.  Data for this table is provided by the CEPS Division of Academic Outreach.</t>
    </r>
  </si>
  <si>
    <t>FY01</t>
  </si>
  <si>
    <r>
      <t>Undergrad Income</t>
    </r>
    <r>
      <rPr>
        <sz val="10"/>
        <rFont val="Arial"/>
        <family val="0"/>
      </rPr>
      <t xml:space="preserve">.  This worksheet is used to determine how much of projected FY01 undergraduate tuition will be available for distribution on the basis of IUs and tuition collections.  Special tuition items, such as tuition differentials, are also noted on that page.  </t>
    </r>
  </si>
  <si>
    <r>
      <t>UG Distribution.</t>
    </r>
    <r>
      <rPr>
        <sz val="10"/>
        <rFont val="Arial"/>
        <family val="0"/>
      </rPr>
      <t xml:space="preserve"> After removing tuition differentials, 50% of UG tuition is distributed on the basis of each colleges share of tuition collections and 50% is distributed on the basis of each colleges share of IUs  generated. The original Budget Reform plan was  to distribute 50% of the income on the basis of enrollment.  This distribution was also to take into account the tuition range and the residency status of the student.  To simplify this distribution, tuition assessments are used as a surrogate for enrollment since they reflect the residency status and range of the student.  Tuition assessment data for the prior two years was provided by DMI and is available both on their web site and on the OBA Budget Reform web site.  The tuition file on the OBA site combines the FY99 and FY00 data by college and then provides an average.  Each colleges share of assessed tuition is used as the basis for distributing this portion of income.  If a college has 3.6% of the UG assessments, it will receive 3.6% of the income distributed in this fashion.</t>
    </r>
  </si>
  <si>
    <r>
      <t>Grad Income</t>
    </r>
    <r>
      <rPr>
        <sz val="10"/>
        <rFont val="Arial"/>
        <family val="0"/>
      </rPr>
      <t>.  This sheet shows the estimated FY01 graduate tuition income and, from that amount, removes summer income, new differential income, and self-supporting programs.  The remainder is available for distribution.</t>
    </r>
  </si>
  <si>
    <t>2-Year</t>
  </si>
  <si>
    <t>updated</t>
  </si>
  <si>
    <t>Change</t>
  </si>
  <si>
    <t>FY02-01</t>
  </si>
  <si>
    <t>FY02</t>
  </si>
  <si>
    <t>Tuition Generation By College</t>
  </si>
  <si>
    <t>Less 28% on 2% increment</t>
  </si>
  <si>
    <t>MBA Program      2000</t>
  </si>
  <si>
    <t>Amount to distribute</t>
  </si>
  <si>
    <t>FY03-02</t>
  </si>
  <si>
    <t>FY03</t>
  </si>
  <si>
    <t>DISTRIBUTION OF UNDERGRADUATE TUITION--FY03</t>
  </si>
  <si>
    <t>FY02 Overrealization</t>
  </si>
  <si>
    <t>FY02 Distibution</t>
  </si>
  <si>
    <t>FY02 Distribution</t>
  </si>
  <si>
    <t>FY03 Tuition increment (3%)</t>
  </si>
  <si>
    <t>Increment (3%)</t>
  </si>
  <si>
    <t>Estd</t>
  </si>
  <si>
    <t>FY02 x</t>
  </si>
  <si>
    <t>103%</t>
  </si>
  <si>
    <t>Law (est 02)</t>
  </si>
  <si>
    <t>VM (est 02)</t>
  </si>
  <si>
    <t>FY03 vs. FY02</t>
  </si>
  <si>
    <t>FY03 Est. Tuition</t>
  </si>
  <si>
    <t>FY03 Allocation of Graduate Summer Tuition</t>
  </si>
  <si>
    <t>Graduate--Avg. of 2000 and 2001</t>
  </si>
  <si>
    <t>DISTRIBUTION OF ACADEMIC YEAR TUITION-FY03</t>
  </si>
  <si>
    <t>FY01 &amp; FY02 AVG.</t>
  </si>
  <si>
    <t>Less ISSC Shortfall (30% of Increment)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</si>
</sst>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_(&quot;$&quot;* #,##0.0_);_(&quot;$&quot;* \(#,##0.0\);_(&quot;$&quot;* &quot;-&quot;??_);_(@_)"/>
    <numFmt numFmtId="168" formatCode="_(&quot;$&quot;* #,##0_);_(&quot;$&quot;* \(#,##0\);_(&quot;$&quot;* &quot;-&quot;??_);_(@_)"/>
    <numFmt numFmtId="169" formatCode="_(&quot;$&quot;* #,##0.000_);_(&quot;$&quot;* \(#,##0.000\);_(&quot;$&quot;* &quot;-&quot;??_);_(@_)"/>
    <numFmt numFmtId="170" formatCode="_(&quot;$&quot;* #,##0.0000_);_(&quot;$&quot;* \(#,##0.0000\);_(&quot;$&quot;* &quot;-&quot;??_);_(@_)"/>
    <numFmt numFmtId="171" formatCode="_(* #,##0.000_);_(* \(#,##0.000\);_(* &quot;-&quot;??_);_(@_)"/>
    <numFmt numFmtId="172" formatCode="_(* #,##0.0000_);_(* \(#,##0.0000\);_(* &quot;-&quot;??_);_(@_)"/>
    <numFmt numFmtId="173" formatCode="0.0"/>
    <numFmt numFmtId="174" formatCode="0.000"/>
    <numFmt numFmtId="175" formatCode="0.0000"/>
    <numFmt numFmtId="176" formatCode="0.00000"/>
    <numFmt numFmtId="177" formatCode="0.0000000000000"/>
    <numFmt numFmtId="178" formatCode="0.000000"/>
    <numFmt numFmtId="179" formatCode="0.000%"/>
    <numFmt numFmtId="180" formatCode="0.0000%"/>
    <numFmt numFmtId="181" formatCode="0.00000%"/>
    <numFmt numFmtId="182" formatCode="0.000000%"/>
    <numFmt numFmtId="183" formatCode="_(* #,##0.0_);_(* \(#,##0.0\);_(* &quot;-&quot;?_);_(@_)"/>
  </numFmts>
  <fonts count="43">
    <font>
      <sz val="10"/>
      <name val="Arial"/>
      <family val="0"/>
    </font>
    <font>
      <b/>
      <sz val="10"/>
      <name val="Arial"/>
      <family val="0"/>
    </font>
    <font>
      <i/>
      <sz val="10"/>
      <name val="Arial"/>
      <family val="0"/>
    </font>
    <font>
      <b/>
      <i/>
      <sz val="10"/>
      <name val="Arial"/>
      <family val="0"/>
    </font>
    <font>
      <sz val="8"/>
      <name val="Arial"/>
      <family val="2"/>
    </font>
    <font>
      <u val="singleAccounting"/>
      <sz val="10"/>
      <name val="Arial"/>
      <family val="2"/>
    </font>
    <font>
      <sz val="8"/>
      <name val="Tahoma"/>
      <family val="2"/>
    </font>
    <font>
      <b/>
      <sz val="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double"/>
    </border>
    <border>
      <left>
        <color indexed="63"/>
      </left>
      <right>
        <color indexed="63"/>
      </right>
      <top style="thin"/>
      <bottom style="double"/>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double"/>
    </border>
    <border>
      <left style="thin"/>
      <right style="thin"/>
      <top style="thin"/>
      <bottom style="double"/>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93">
    <xf numFmtId="0" fontId="0" fillId="0" borderId="0" xfId="0" applyAlignment="1">
      <alignment/>
    </xf>
    <xf numFmtId="164" fontId="0" fillId="0" borderId="0" xfId="42" applyNumberFormat="1" applyFont="1" applyAlignment="1">
      <alignment/>
    </xf>
    <xf numFmtId="164" fontId="4" fillId="0" borderId="0" xfId="42" applyNumberFormat="1" applyFont="1" applyAlignment="1">
      <alignment/>
    </xf>
    <xf numFmtId="164" fontId="4" fillId="0" borderId="10" xfId="42" applyNumberFormat="1" applyFont="1" applyBorder="1" applyAlignment="1">
      <alignment horizontal="centerContinuous"/>
    </xf>
    <xf numFmtId="164" fontId="4" fillId="0" borderId="11" xfId="42" applyNumberFormat="1" applyFont="1" applyBorder="1" applyAlignment="1">
      <alignment horizontal="centerContinuous"/>
    </xf>
    <xf numFmtId="164" fontId="4" fillId="0" borderId="12" xfId="42" applyNumberFormat="1" applyFont="1" applyBorder="1" applyAlignment="1">
      <alignment/>
    </xf>
    <xf numFmtId="164" fontId="4" fillId="0" borderId="0" xfId="42" applyNumberFormat="1" applyFont="1" applyBorder="1" applyAlignment="1">
      <alignment/>
    </xf>
    <xf numFmtId="164" fontId="4" fillId="0" borderId="13" xfId="42" applyNumberFormat="1" applyFont="1" applyBorder="1" applyAlignment="1">
      <alignment/>
    </xf>
    <xf numFmtId="164" fontId="4" fillId="0" borderId="14" xfId="42" applyNumberFormat="1" applyFont="1" applyBorder="1" applyAlignment="1">
      <alignment/>
    </xf>
    <xf numFmtId="165" fontId="0" fillId="0" borderId="0" xfId="57" applyNumberFormat="1" applyFont="1" applyAlignment="1">
      <alignment/>
    </xf>
    <xf numFmtId="164" fontId="1" fillId="0" borderId="0" xfId="42" applyNumberFormat="1" applyFont="1" applyAlignment="1">
      <alignment/>
    </xf>
    <xf numFmtId="168" fontId="0" fillId="0" borderId="0" xfId="44" applyNumberFormat="1" applyFont="1" applyAlignment="1">
      <alignment/>
    </xf>
    <xf numFmtId="164" fontId="4" fillId="0" borderId="0" xfId="42" applyNumberFormat="1" applyFont="1" applyBorder="1" applyAlignment="1">
      <alignment horizontal="center"/>
    </xf>
    <xf numFmtId="164" fontId="4" fillId="0" borderId="13" xfId="42" applyNumberFormat="1" applyFont="1" applyBorder="1" applyAlignment="1">
      <alignment horizontal="center"/>
    </xf>
    <xf numFmtId="164" fontId="4" fillId="0" borderId="12" xfId="42" applyNumberFormat="1" applyFont="1" applyBorder="1" applyAlignment="1">
      <alignment horizontal="center"/>
    </xf>
    <xf numFmtId="164" fontId="4" fillId="0" borderId="15" xfId="42" applyNumberFormat="1" applyFont="1" applyBorder="1" applyAlignment="1">
      <alignment horizontal="center"/>
    </xf>
    <xf numFmtId="164" fontId="4" fillId="0" borderId="16" xfId="42" applyNumberFormat="1" applyFont="1" applyBorder="1" applyAlignment="1">
      <alignment horizontal="center"/>
    </xf>
    <xf numFmtId="9" fontId="0" fillId="0" borderId="0" xfId="57" applyFont="1" applyAlignment="1">
      <alignment/>
    </xf>
    <xf numFmtId="164" fontId="4" fillId="0" borderId="0" xfId="42" applyNumberFormat="1" applyFont="1" applyAlignment="1" quotePrefix="1">
      <alignment/>
    </xf>
    <xf numFmtId="164" fontId="0" fillId="0" borderId="0" xfId="0" applyNumberFormat="1" applyAlignment="1">
      <alignment/>
    </xf>
    <xf numFmtId="0" fontId="4" fillId="0" borderId="0" xfId="0" applyFont="1" applyAlignment="1">
      <alignment horizontal="center"/>
    </xf>
    <xf numFmtId="0" fontId="4" fillId="0" borderId="0" xfId="0" applyFont="1" applyBorder="1" applyAlignment="1">
      <alignment horizontal="center"/>
    </xf>
    <xf numFmtId="0" fontId="4" fillId="0" borderId="13" xfId="0" applyFont="1" applyBorder="1" applyAlignment="1">
      <alignment horizontal="center"/>
    </xf>
    <xf numFmtId="0" fontId="4" fillId="0" borderId="0" xfId="0" applyFont="1" applyBorder="1" applyAlignment="1" quotePrefix="1">
      <alignment horizontal="center"/>
    </xf>
    <xf numFmtId="0" fontId="0" fillId="0" borderId="12" xfId="0" applyBorder="1" applyAlignment="1">
      <alignment/>
    </xf>
    <xf numFmtId="0" fontId="0" fillId="0" borderId="11" xfId="0" applyBorder="1" applyAlignment="1">
      <alignment horizontal="centerContinuous"/>
    </xf>
    <xf numFmtId="0" fontId="0" fillId="0" borderId="17" xfId="0" applyBorder="1" applyAlignment="1">
      <alignment horizontal="centerContinuous"/>
    </xf>
    <xf numFmtId="0" fontId="4" fillId="33" borderId="18" xfId="0" applyFont="1" applyFill="1" applyBorder="1" applyAlignment="1" quotePrefix="1">
      <alignment horizontal="center"/>
    </xf>
    <xf numFmtId="0" fontId="4" fillId="33" borderId="19" xfId="0" applyFont="1" applyFill="1" applyBorder="1" applyAlignment="1">
      <alignment horizontal="center"/>
    </xf>
    <xf numFmtId="168" fontId="4" fillId="33" borderId="19" xfId="44" applyNumberFormat="1" applyFont="1" applyFill="1" applyBorder="1" applyAlignment="1">
      <alignment horizontal="center"/>
    </xf>
    <xf numFmtId="0" fontId="4" fillId="33" borderId="20" xfId="0" applyFont="1" applyFill="1" applyBorder="1" applyAlignment="1">
      <alignment horizontal="center"/>
    </xf>
    <xf numFmtId="164" fontId="0" fillId="33" borderId="19" xfId="42" applyNumberFormat="1" applyFont="1" applyFill="1" applyBorder="1" applyAlignment="1">
      <alignment/>
    </xf>
    <xf numFmtId="0" fontId="0" fillId="33" borderId="19" xfId="0" applyFill="1" applyBorder="1" applyAlignment="1">
      <alignment/>
    </xf>
    <xf numFmtId="164" fontId="4" fillId="33" borderId="0" xfId="42" applyNumberFormat="1" applyFont="1" applyFill="1" applyBorder="1" applyAlignment="1">
      <alignment horizontal="center"/>
    </xf>
    <xf numFmtId="164" fontId="4" fillId="33" borderId="13" xfId="42" applyNumberFormat="1" applyFont="1" applyFill="1" applyBorder="1" applyAlignment="1">
      <alignment horizontal="center"/>
    </xf>
    <xf numFmtId="164" fontId="4" fillId="0" borderId="21" xfId="42" applyNumberFormat="1" applyFont="1" applyBorder="1" applyAlignment="1">
      <alignment horizontal="center"/>
    </xf>
    <xf numFmtId="164" fontId="4" fillId="0" borderId="22" xfId="42" applyNumberFormat="1" applyFont="1" applyBorder="1" applyAlignment="1">
      <alignment horizontal="center"/>
    </xf>
    <xf numFmtId="164" fontId="4" fillId="0" borderId="22" xfId="42" applyNumberFormat="1" applyFont="1" applyBorder="1" applyAlignment="1">
      <alignment/>
    </xf>
    <xf numFmtId="164" fontId="4" fillId="0" borderId="23" xfId="42" applyNumberFormat="1" applyFont="1" applyBorder="1" applyAlignment="1">
      <alignment horizontal="center"/>
    </xf>
    <xf numFmtId="164" fontId="0" fillId="0" borderId="13" xfId="42" applyNumberFormat="1" applyFont="1" applyBorder="1" applyAlignment="1">
      <alignment/>
    </xf>
    <xf numFmtId="164" fontId="0" fillId="0" borderId="11" xfId="42" applyNumberFormat="1" applyFont="1" applyBorder="1" applyAlignment="1">
      <alignment/>
    </xf>
    <xf numFmtId="164" fontId="0" fillId="0" borderId="11" xfId="42" applyNumberFormat="1" applyFont="1" applyBorder="1" applyAlignment="1">
      <alignment horizontal="centerContinuous"/>
    </xf>
    <xf numFmtId="164" fontId="0" fillId="0" borderId="17" xfId="42" applyNumberFormat="1" applyFont="1" applyBorder="1" applyAlignment="1">
      <alignment horizontal="centerContinuous"/>
    </xf>
    <xf numFmtId="168" fontId="4" fillId="0" borderId="15" xfId="44" applyNumberFormat="1" applyFont="1" applyBorder="1" applyAlignment="1">
      <alignment horizontal="center"/>
    </xf>
    <xf numFmtId="164" fontId="4" fillId="0" borderId="24" xfId="42" applyNumberFormat="1" applyFont="1" applyBorder="1" applyAlignment="1">
      <alignment horizontal="center"/>
    </xf>
    <xf numFmtId="164" fontId="4" fillId="0" borderId="19" xfId="42" applyNumberFormat="1" applyFont="1" applyBorder="1" applyAlignment="1">
      <alignment horizontal="center"/>
    </xf>
    <xf numFmtId="164" fontId="4" fillId="0" borderId="20" xfId="42" applyNumberFormat="1" applyFont="1" applyBorder="1" applyAlignment="1">
      <alignment horizontal="center"/>
    </xf>
    <xf numFmtId="0" fontId="0" fillId="0" borderId="21" xfId="0" applyBorder="1" applyAlignment="1">
      <alignment/>
    </xf>
    <xf numFmtId="0" fontId="0" fillId="0" borderId="15" xfId="0" applyBorder="1" applyAlignment="1">
      <alignment/>
    </xf>
    <xf numFmtId="0" fontId="0" fillId="0" borderId="16" xfId="0" applyBorder="1" applyAlignment="1">
      <alignment/>
    </xf>
    <xf numFmtId="0" fontId="4" fillId="33" borderId="24" xfId="0" applyFont="1" applyFill="1" applyBorder="1" applyAlignment="1">
      <alignment horizontal="center"/>
    </xf>
    <xf numFmtId="164" fontId="0" fillId="0" borderId="21" xfId="42" applyNumberFormat="1" applyFont="1" applyBorder="1" applyAlignment="1">
      <alignment/>
    </xf>
    <xf numFmtId="164" fontId="0" fillId="0" borderId="22" xfId="42" applyNumberFormat="1" applyFont="1" applyBorder="1" applyAlignment="1">
      <alignment/>
    </xf>
    <xf numFmtId="164" fontId="0" fillId="0" borderId="23" xfId="42" applyNumberFormat="1" applyFont="1" applyBorder="1" applyAlignment="1">
      <alignment/>
    </xf>
    <xf numFmtId="164" fontId="0" fillId="0" borderId="15" xfId="42" applyNumberFormat="1" applyFont="1" applyBorder="1" applyAlignment="1">
      <alignment/>
    </xf>
    <xf numFmtId="164" fontId="0" fillId="0" borderId="0" xfId="42" applyNumberFormat="1" applyFont="1" applyBorder="1" applyAlignment="1">
      <alignment/>
    </xf>
    <xf numFmtId="164" fontId="0" fillId="0" borderId="12" xfId="42" applyNumberFormat="1" applyFont="1" applyBorder="1" applyAlignment="1">
      <alignment/>
    </xf>
    <xf numFmtId="168" fontId="0" fillId="0" borderId="25" xfId="44" applyNumberFormat="1" applyFont="1" applyBorder="1" applyAlignment="1">
      <alignment/>
    </xf>
    <xf numFmtId="168" fontId="0" fillId="0" borderId="26" xfId="44" applyNumberFormat="1" applyFont="1" applyBorder="1" applyAlignment="1">
      <alignment/>
    </xf>
    <xf numFmtId="168" fontId="0" fillId="0" borderId="27" xfId="44" applyNumberFormat="1" applyFont="1" applyBorder="1" applyAlignment="1">
      <alignment/>
    </xf>
    <xf numFmtId="164" fontId="0" fillId="0" borderId="26" xfId="42" applyNumberFormat="1" applyFont="1" applyBorder="1" applyAlignment="1">
      <alignment/>
    </xf>
    <xf numFmtId="164" fontId="0" fillId="0" borderId="24" xfId="42" applyNumberFormat="1" applyFont="1" applyBorder="1" applyAlignment="1">
      <alignment/>
    </xf>
    <xf numFmtId="164" fontId="0" fillId="0" borderId="19" xfId="42" applyNumberFormat="1" applyFont="1" applyBorder="1" applyAlignment="1">
      <alignment/>
    </xf>
    <xf numFmtId="164" fontId="0" fillId="0" borderId="20" xfId="42" applyNumberFormat="1" applyFont="1" applyBorder="1" applyAlignment="1">
      <alignment/>
    </xf>
    <xf numFmtId="164" fontId="0" fillId="0" borderId="18" xfId="42" applyNumberFormat="1" applyFont="1" applyBorder="1" applyAlignment="1">
      <alignment/>
    </xf>
    <xf numFmtId="168" fontId="0" fillId="0" borderId="28" xfId="44" applyNumberFormat="1" applyFont="1" applyBorder="1" applyAlignment="1">
      <alignment/>
    </xf>
    <xf numFmtId="164" fontId="4" fillId="0" borderId="21" xfId="42" applyNumberFormat="1" applyFont="1" applyBorder="1" applyAlignment="1">
      <alignment/>
    </xf>
    <xf numFmtId="164" fontId="4" fillId="0" borderId="23" xfId="42" applyNumberFormat="1" applyFont="1" applyBorder="1" applyAlignment="1">
      <alignment/>
    </xf>
    <xf numFmtId="164" fontId="4" fillId="0" borderId="15" xfId="42" applyNumberFormat="1" applyFont="1" applyBorder="1" applyAlignment="1">
      <alignment/>
    </xf>
    <xf numFmtId="164" fontId="4" fillId="0" borderId="15" xfId="42" applyNumberFormat="1" applyFont="1" applyBorder="1" applyAlignment="1" quotePrefix="1">
      <alignment/>
    </xf>
    <xf numFmtId="164" fontId="4" fillId="0" borderId="16" xfId="42" applyNumberFormat="1" applyFont="1" applyBorder="1" applyAlignment="1">
      <alignment/>
    </xf>
    <xf numFmtId="164" fontId="0" fillId="0" borderId="22" xfId="0" applyNumberFormat="1" applyBorder="1" applyAlignment="1">
      <alignment/>
    </xf>
    <xf numFmtId="165" fontId="0" fillId="0" borderId="22" xfId="57" applyNumberFormat="1" applyFont="1" applyBorder="1" applyAlignment="1">
      <alignment/>
    </xf>
    <xf numFmtId="164" fontId="0" fillId="33" borderId="24" xfId="42" applyNumberFormat="1" applyFont="1" applyFill="1" applyBorder="1" applyAlignment="1">
      <alignment/>
    </xf>
    <xf numFmtId="0" fontId="0" fillId="33" borderId="24" xfId="0" applyFill="1" applyBorder="1" applyAlignment="1">
      <alignment/>
    </xf>
    <xf numFmtId="164" fontId="0" fillId="0" borderId="0" xfId="0" applyNumberFormat="1" applyBorder="1" applyAlignment="1">
      <alignment/>
    </xf>
    <xf numFmtId="0" fontId="0" fillId="0" borderId="0" xfId="0" applyBorder="1" applyAlignment="1">
      <alignment/>
    </xf>
    <xf numFmtId="168" fontId="0" fillId="33" borderId="28" xfId="44" applyNumberFormat="1" applyFont="1" applyFill="1" applyBorder="1" applyAlignment="1">
      <alignment/>
    </xf>
    <xf numFmtId="0" fontId="0" fillId="33" borderId="18" xfId="0" applyFill="1" applyBorder="1" applyAlignment="1">
      <alignment/>
    </xf>
    <xf numFmtId="165" fontId="0" fillId="0" borderId="0" xfId="0" applyNumberFormat="1" applyAlignment="1">
      <alignment/>
    </xf>
    <xf numFmtId="164" fontId="0" fillId="0" borderId="25" xfId="42" applyNumberFormat="1" applyFont="1" applyBorder="1" applyAlignment="1">
      <alignment/>
    </xf>
    <xf numFmtId="0" fontId="0" fillId="0" borderId="24"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4" fillId="33" borderId="12" xfId="0" applyFont="1" applyFill="1" applyBorder="1" applyAlignment="1">
      <alignment horizontal="center"/>
    </xf>
    <xf numFmtId="0" fontId="4" fillId="33" borderId="14" xfId="0" applyFont="1" applyFill="1" applyBorder="1" applyAlignment="1">
      <alignment horizontal="center"/>
    </xf>
    <xf numFmtId="164" fontId="0" fillId="33" borderId="12" xfId="42" applyNumberFormat="1" applyFont="1" applyFill="1" applyBorder="1" applyAlignment="1">
      <alignment/>
    </xf>
    <xf numFmtId="0" fontId="4" fillId="0" borderId="10" xfId="0" applyFont="1" applyBorder="1" applyAlignment="1">
      <alignment horizontal="centerContinuous"/>
    </xf>
    <xf numFmtId="165" fontId="0" fillId="0" borderId="0" xfId="57" applyNumberFormat="1" applyFont="1" applyBorder="1" applyAlignment="1">
      <alignment/>
    </xf>
    <xf numFmtId="165" fontId="0" fillId="0" borderId="26" xfId="57" applyNumberFormat="1" applyFont="1" applyBorder="1" applyAlignment="1">
      <alignment/>
    </xf>
    <xf numFmtId="168" fontId="0" fillId="33" borderId="26" xfId="44" applyNumberFormat="1" applyFont="1" applyFill="1" applyBorder="1" applyAlignment="1">
      <alignment/>
    </xf>
    <xf numFmtId="0" fontId="0" fillId="0" borderId="28" xfId="0" applyBorder="1" applyAlignment="1">
      <alignment/>
    </xf>
    <xf numFmtId="168" fontId="0" fillId="33" borderId="27" xfId="44" applyNumberFormat="1" applyFont="1" applyFill="1" applyBorder="1" applyAlignment="1">
      <alignment/>
    </xf>
    <xf numFmtId="164" fontId="0" fillId="33" borderId="22" xfId="42" applyNumberFormat="1" applyFont="1" applyFill="1" applyBorder="1" applyAlignment="1">
      <alignment/>
    </xf>
    <xf numFmtId="164" fontId="0" fillId="33" borderId="23" xfId="42" applyNumberFormat="1" applyFont="1" applyFill="1" applyBorder="1" applyAlignment="1">
      <alignment/>
    </xf>
    <xf numFmtId="164" fontId="0" fillId="33" borderId="0" xfId="42" applyNumberFormat="1" applyFont="1" applyFill="1" applyBorder="1" applyAlignment="1">
      <alignment/>
    </xf>
    <xf numFmtId="164" fontId="4" fillId="0" borderId="14" xfId="42" applyNumberFormat="1" applyFont="1" applyBorder="1" applyAlignment="1">
      <alignment horizontal="center"/>
    </xf>
    <xf numFmtId="164" fontId="4" fillId="0" borderId="0" xfId="42" applyNumberFormat="1" applyFont="1" applyBorder="1" applyAlignment="1" quotePrefix="1">
      <alignment horizontal="center"/>
    </xf>
    <xf numFmtId="168" fontId="4" fillId="33" borderId="0" xfId="44" applyNumberFormat="1" applyFont="1" applyFill="1" applyBorder="1" applyAlignment="1">
      <alignment/>
    </xf>
    <xf numFmtId="164" fontId="5" fillId="0" borderId="0" xfId="42" applyNumberFormat="1" applyFont="1" applyAlignment="1">
      <alignment/>
    </xf>
    <xf numFmtId="168" fontId="4" fillId="0" borderId="0" xfId="44" applyNumberFormat="1" applyFont="1" applyBorder="1" applyAlignment="1">
      <alignment horizontal="center"/>
    </xf>
    <xf numFmtId="164" fontId="4" fillId="0" borderId="23" xfId="42" applyNumberFormat="1" applyFont="1" applyBorder="1" applyAlignment="1" quotePrefix="1">
      <alignment horizontal="center"/>
    </xf>
    <xf numFmtId="164" fontId="0" fillId="0" borderId="28" xfId="42" applyNumberFormat="1" applyFont="1" applyBorder="1" applyAlignment="1">
      <alignment/>
    </xf>
    <xf numFmtId="164" fontId="4" fillId="0" borderId="0" xfId="42" applyNumberFormat="1" applyFont="1" applyAlignment="1" quotePrefix="1">
      <alignment horizontal="left"/>
    </xf>
    <xf numFmtId="164" fontId="0" fillId="0" borderId="17" xfId="42" applyNumberFormat="1" applyFont="1" applyBorder="1" applyAlignment="1">
      <alignment/>
    </xf>
    <xf numFmtId="164" fontId="4" fillId="0" borderId="19" xfId="42" applyNumberFormat="1" applyFont="1" applyBorder="1" applyAlignment="1">
      <alignment/>
    </xf>
    <xf numFmtId="164" fontId="4" fillId="0" borderId="24" xfId="42" applyNumberFormat="1" applyFont="1" applyBorder="1" applyAlignment="1">
      <alignment/>
    </xf>
    <xf numFmtId="0" fontId="4" fillId="0" borderId="22" xfId="0" applyFont="1" applyBorder="1" applyAlignment="1">
      <alignment horizontal="center"/>
    </xf>
    <xf numFmtId="164" fontId="0" fillId="0" borderId="25" xfId="0" applyNumberFormat="1" applyBorder="1" applyAlignment="1">
      <alignment/>
    </xf>
    <xf numFmtId="165" fontId="0" fillId="0" borderId="26" xfId="0" applyNumberFormat="1" applyBorder="1" applyAlignment="1">
      <alignment/>
    </xf>
    <xf numFmtId="164" fontId="0" fillId="33" borderId="19" xfId="0" applyNumberFormat="1" applyFill="1" applyBorder="1" applyAlignment="1">
      <alignment/>
    </xf>
    <xf numFmtId="168" fontId="0" fillId="0" borderId="0" xfId="44" applyNumberFormat="1" applyFont="1" applyBorder="1" applyAlignment="1">
      <alignment/>
    </xf>
    <xf numFmtId="164" fontId="0" fillId="0" borderId="0" xfId="42" applyNumberFormat="1" applyFont="1" applyAlignment="1">
      <alignment horizontal="center"/>
    </xf>
    <xf numFmtId="165" fontId="0" fillId="0" borderId="27" xfId="57" applyNumberFormat="1" applyFont="1" applyBorder="1" applyAlignment="1">
      <alignment/>
    </xf>
    <xf numFmtId="164" fontId="0" fillId="0" borderId="21" xfId="0" applyNumberFormat="1" applyBorder="1" applyAlignment="1">
      <alignment/>
    </xf>
    <xf numFmtId="164" fontId="0" fillId="0" borderId="15" xfId="0" applyNumberFormat="1" applyBorder="1" applyAlignment="1">
      <alignment/>
    </xf>
    <xf numFmtId="164" fontId="4" fillId="33" borderId="24" xfId="42" applyNumberFormat="1" applyFont="1" applyFill="1" applyBorder="1" applyAlignment="1">
      <alignment horizontal="center"/>
    </xf>
    <xf numFmtId="168" fontId="4" fillId="33" borderId="19" xfId="44" applyNumberFormat="1" applyFont="1" applyFill="1" applyBorder="1" applyAlignment="1">
      <alignment/>
    </xf>
    <xf numFmtId="164" fontId="4" fillId="33" borderId="20" xfId="42" applyNumberFormat="1" applyFont="1" applyFill="1" applyBorder="1" applyAlignment="1">
      <alignment horizontal="center"/>
    </xf>
    <xf numFmtId="1" fontId="0" fillId="33" borderId="24" xfId="0" applyNumberFormat="1" applyFill="1" applyBorder="1" applyAlignment="1">
      <alignment/>
    </xf>
    <xf numFmtId="164" fontId="0" fillId="33" borderId="20" xfId="42" applyNumberFormat="1" applyFont="1" applyFill="1" applyBorder="1" applyAlignment="1">
      <alignment/>
    </xf>
    <xf numFmtId="164" fontId="4" fillId="0" borderId="26" xfId="42" applyNumberFormat="1" applyFont="1" applyBorder="1" applyAlignment="1">
      <alignment horizontal="centerContinuous"/>
    </xf>
    <xf numFmtId="164" fontId="4" fillId="0" borderId="27" xfId="42" applyNumberFormat="1" applyFont="1" applyBorder="1" applyAlignment="1">
      <alignment horizontal="centerContinuous"/>
    </xf>
    <xf numFmtId="164" fontId="4" fillId="0" borderId="25" xfId="42" applyNumberFormat="1" applyFont="1" applyBorder="1" applyAlignment="1">
      <alignment horizontal="centerContinuous"/>
    </xf>
    <xf numFmtId="164" fontId="4" fillId="0" borderId="25" xfId="42" applyNumberFormat="1" applyFont="1" applyBorder="1" applyAlignment="1">
      <alignment/>
    </xf>
    <xf numFmtId="164" fontId="4" fillId="0" borderId="27" xfId="42" applyNumberFormat="1" applyFont="1" applyBorder="1" applyAlignment="1">
      <alignment/>
    </xf>
    <xf numFmtId="164" fontId="4" fillId="0" borderId="14" xfId="42" applyNumberFormat="1" applyFont="1" applyBorder="1" applyAlignment="1" quotePrefix="1">
      <alignment horizontal="center"/>
    </xf>
    <xf numFmtId="164" fontId="0" fillId="0" borderId="0" xfId="42" applyNumberFormat="1" applyAlignment="1">
      <alignment/>
    </xf>
    <xf numFmtId="168" fontId="4" fillId="33" borderId="12" xfId="44" applyNumberFormat="1" applyFont="1" applyFill="1" applyBorder="1" applyAlignment="1">
      <alignment horizontal="center"/>
    </xf>
    <xf numFmtId="164" fontId="5" fillId="0" borderId="0" xfId="42" applyNumberFormat="1" applyFont="1" applyAlignment="1">
      <alignment horizontal="center"/>
    </xf>
    <xf numFmtId="43" fontId="0" fillId="0" borderId="0" xfId="42" applyNumberFormat="1" applyFont="1" applyAlignment="1">
      <alignment/>
    </xf>
    <xf numFmtId="164" fontId="0" fillId="0" borderId="16" xfId="42" applyNumberFormat="1" applyFont="1" applyBorder="1" applyAlignment="1">
      <alignment/>
    </xf>
    <xf numFmtId="164" fontId="0" fillId="0" borderId="0" xfId="42" applyNumberFormat="1" applyBorder="1" applyAlignment="1">
      <alignment/>
    </xf>
    <xf numFmtId="164" fontId="5" fillId="0" borderId="0" xfId="42" applyNumberFormat="1" applyFont="1" applyBorder="1" applyAlignment="1">
      <alignment/>
    </xf>
    <xf numFmtId="164" fontId="0" fillId="0" borderId="13" xfId="42" applyNumberFormat="1" applyFont="1" applyBorder="1" applyAlignment="1" quotePrefix="1">
      <alignment horizontal="center"/>
    </xf>
    <xf numFmtId="164" fontId="4" fillId="33" borderId="16" xfId="42" applyNumberFormat="1" applyFont="1" applyFill="1" applyBorder="1" applyAlignment="1">
      <alignment horizontal="center"/>
    </xf>
    <xf numFmtId="1" fontId="0" fillId="33" borderId="21" xfId="0" applyNumberFormat="1" applyFill="1" applyBorder="1" applyAlignment="1">
      <alignment/>
    </xf>
    <xf numFmtId="0" fontId="1" fillId="0" borderId="0" xfId="0" applyFont="1" applyAlignment="1">
      <alignment horizontal="center"/>
    </xf>
    <xf numFmtId="164" fontId="0" fillId="0" borderId="0" xfId="42" applyNumberFormat="1" applyFont="1" applyBorder="1" applyAlignment="1">
      <alignment/>
    </xf>
    <xf numFmtId="0" fontId="0" fillId="0" borderId="0" xfId="0" applyAlignment="1">
      <alignment wrapText="1"/>
    </xf>
    <xf numFmtId="0" fontId="1" fillId="0" borderId="0" xfId="0" applyFont="1" applyAlignment="1">
      <alignment wrapText="1"/>
    </xf>
    <xf numFmtId="0" fontId="1" fillId="0" borderId="0" xfId="0" applyFont="1" applyAlignment="1">
      <alignment/>
    </xf>
    <xf numFmtId="0" fontId="0" fillId="0" borderId="0" xfId="0" applyNumberFormat="1" applyAlignment="1">
      <alignment wrapText="1"/>
    </xf>
    <xf numFmtId="1" fontId="0" fillId="0" borderId="0" xfId="0" applyNumberFormat="1" applyAlignment="1">
      <alignment/>
    </xf>
    <xf numFmtId="164" fontId="0" fillId="0" borderId="21" xfId="42" applyNumberFormat="1" applyFont="1" applyBorder="1" applyAlignment="1">
      <alignment/>
    </xf>
    <xf numFmtId="164" fontId="0" fillId="0" borderId="15" xfId="42" applyNumberFormat="1" applyFont="1" applyBorder="1" applyAlignment="1">
      <alignment/>
    </xf>
    <xf numFmtId="164" fontId="0" fillId="0" borderId="22" xfId="42" applyNumberFormat="1" applyFont="1" applyBorder="1" applyAlignment="1">
      <alignment/>
    </xf>
    <xf numFmtId="166" fontId="0" fillId="0" borderId="0" xfId="42" applyNumberFormat="1" applyFont="1" applyAlignment="1">
      <alignment/>
    </xf>
    <xf numFmtId="43" fontId="0" fillId="0" borderId="0" xfId="0" applyNumberFormat="1" applyAlignment="1">
      <alignment/>
    </xf>
    <xf numFmtId="164" fontId="1" fillId="0" borderId="0" xfId="42" applyNumberFormat="1" applyFont="1" applyAlignment="1">
      <alignment/>
    </xf>
    <xf numFmtId="164" fontId="0" fillId="0" borderId="24" xfId="42" applyNumberFormat="1" applyFont="1" applyBorder="1" applyAlignment="1">
      <alignment horizontal="center"/>
    </xf>
    <xf numFmtId="164" fontId="0" fillId="0" borderId="19" xfId="42" applyNumberFormat="1" applyFont="1" applyBorder="1" applyAlignment="1">
      <alignment horizontal="center"/>
    </xf>
    <xf numFmtId="164" fontId="0" fillId="0" borderId="20" xfId="42" applyNumberFormat="1" applyFont="1" applyBorder="1" applyAlignment="1">
      <alignment horizontal="center"/>
    </xf>
    <xf numFmtId="166" fontId="4" fillId="0" borderId="0" xfId="42" applyNumberFormat="1" applyFont="1" applyAlignment="1">
      <alignment/>
    </xf>
    <xf numFmtId="166" fontId="4" fillId="0" borderId="0" xfId="42" applyNumberFormat="1" applyFont="1" applyBorder="1" applyAlignment="1">
      <alignment/>
    </xf>
    <xf numFmtId="166" fontId="4" fillId="0" borderId="23" xfId="42" applyNumberFormat="1" applyFont="1" applyBorder="1" applyAlignment="1">
      <alignment/>
    </xf>
    <xf numFmtId="166" fontId="4" fillId="0" borderId="12" xfId="42" applyNumberFormat="1" applyFont="1" applyBorder="1" applyAlignment="1">
      <alignment/>
    </xf>
    <xf numFmtId="166" fontId="0" fillId="0" borderId="0" xfId="42" applyNumberFormat="1" applyFont="1" applyBorder="1" applyAlignment="1">
      <alignment/>
    </xf>
    <xf numFmtId="166" fontId="0" fillId="0" borderId="13" xfId="42" applyNumberFormat="1" applyFont="1" applyBorder="1" applyAlignment="1">
      <alignment/>
    </xf>
    <xf numFmtId="166" fontId="0" fillId="0" borderId="19" xfId="42" applyNumberFormat="1" applyFont="1" applyBorder="1" applyAlignment="1">
      <alignment/>
    </xf>
    <xf numFmtId="166" fontId="0" fillId="0" borderId="24" xfId="42" applyNumberFormat="1" applyFont="1" applyBorder="1" applyAlignment="1">
      <alignment horizontal="center"/>
    </xf>
    <xf numFmtId="166" fontId="0" fillId="0" borderId="22" xfId="42" applyNumberFormat="1" applyFont="1" applyBorder="1" applyAlignment="1">
      <alignment horizontal="center"/>
    </xf>
    <xf numFmtId="166" fontId="0" fillId="0" borderId="19" xfId="42" applyNumberFormat="1" applyFont="1" applyBorder="1" applyAlignment="1">
      <alignment horizontal="center"/>
    </xf>
    <xf numFmtId="166" fontId="0" fillId="0" borderId="0" xfId="42" applyNumberFormat="1" applyFont="1" applyBorder="1" applyAlignment="1">
      <alignment horizontal="center"/>
    </xf>
    <xf numFmtId="166" fontId="0" fillId="0" borderId="20" xfId="42" applyNumberFormat="1" applyFont="1" applyBorder="1" applyAlignment="1">
      <alignment horizontal="center"/>
    </xf>
    <xf numFmtId="166" fontId="0" fillId="0" borderId="13" xfId="42" applyNumberFormat="1" applyFont="1" applyBorder="1" applyAlignment="1">
      <alignment horizontal="center"/>
    </xf>
    <xf numFmtId="10" fontId="0" fillId="0" borderId="0" xfId="57" applyNumberFormat="1" applyFont="1" applyAlignment="1">
      <alignment/>
    </xf>
    <xf numFmtId="10" fontId="0" fillId="0" borderId="11" xfId="57" applyNumberFormat="1" applyFont="1" applyBorder="1" applyAlignment="1">
      <alignment horizontal="centerContinuous"/>
    </xf>
    <xf numFmtId="10" fontId="4" fillId="0" borderId="0" xfId="57" applyNumberFormat="1" applyFont="1" applyAlignment="1">
      <alignment/>
    </xf>
    <xf numFmtId="10" fontId="4" fillId="0" borderId="0" xfId="57" applyNumberFormat="1" applyFont="1" applyAlignment="1">
      <alignment horizontal="center"/>
    </xf>
    <xf numFmtId="10" fontId="4" fillId="0" borderId="13" xfId="57" applyNumberFormat="1" applyFont="1" applyBorder="1" applyAlignment="1">
      <alignment horizontal="center"/>
    </xf>
    <xf numFmtId="10" fontId="0" fillId="0" borderId="22" xfId="57" applyNumberFormat="1" applyFont="1" applyBorder="1" applyAlignment="1">
      <alignment/>
    </xf>
    <xf numFmtId="10" fontId="0" fillId="0" borderId="0" xfId="57" applyNumberFormat="1" applyFont="1" applyBorder="1" applyAlignment="1">
      <alignment/>
    </xf>
    <xf numFmtId="10" fontId="0" fillId="0" borderId="26" xfId="57" applyNumberFormat="1" applyFont="1" applyBorder="1" applyAlignment="1">
      <alignment/>
    </xf>
    <xf numFmtId="10" fontId="4" fillId="0" borderId="11" xfId="57" applyNumberFormat="1" applyFont="1" applyBorder="1" applyAlignment="1">
      <alignment horizontal="centerContinuous"/>
    </xf>
    <xf numFmtId="10" fontId="4" fillId="0" borderId="0" xfId="57" applyNumberFormat="1" applyFont="1" applyBorder="1" applyAlignment="1">
      <alignment horizontal="center"/>
    </xf>
    <xf numFmtId="10" fontId="4" fillId="0" borderId="0" xfId="57" applyNumberFormat="1" applyFont="1" applyBorder="1" applyAlignment="1" quotePrefix="1">
      <alignment horizontal="center"/>
    </xf>
    <xf numFmtId="164" fontId="0" fillId="0" borderId="13" xfId="42" applyNumberFormat="1" applyFont="1" applyBorder="1" applyAlignment="1">
      <alignment horizontal="center"/>
    </xf>
    <xf numFmtId="166" fontId="4" fillId="0" borderId="25" xfId="42" applyNumberFormat="1" applyFont="1" applyBorder="1" applyAlignment="1">
      <alignment/>
    </xf>
    <xf numFmtId="166" fontId="4" fillId="0" borderId="27" xfId="42" applyNumberFormat="1" applyFont="1" applyBorder="1" applyAlignment="1">
      <alignment/>
    </xf>
    <xf numFmtId="166" fontId="4" fillId="0" borderId="24" xfId="42" applyNumberFormat="1" applyFont="1" applyBorder="1" applyAlignment="1">
      <alignment/>
    </xf>
    <xf numFmtId="166" fontId="4" fillId="0" borderId="19" xfId="42" applyNumberFormat="1" applyFont="1" applyBorder="1" applyAlignment="1">
      <alignment/>
    </xf>
    <xf numFmtId="166" fontId="4" fillId="0" borderId="19" xfId="42" applyNumberFormat="1" applyFont="1" applyBorder="1" applyAlignment="1" quotePrefix="1">
      <alignment/>
    </xf>
    <xf numFmtId="166" fontId="4" fillId="0" borderId="20" xfId="42" applyNumberFormat="1" applyFont="1" applyBorder="1" applyAlignment="1">
      <alignment/>
    </xf>
    <xf numFmtId="164" fontId="1" fillId="0" borderId="0" xfId="42" applyNumberFormat="1" applyFont="1" applyAlignment="1">
      <alignment horizontal="center"/>
    </xf>
    <xf numFmtId="164" fontId="1" fillId="0" borderId="13" xfId="42" applyNumberFormat="1" applyFont="1" applyBorder="1" applyAlignment="1">
      <alignment horizontal="center"/>
    </xf>
    <xf numFmtId="164" fontId="1" fillId="0" borderId="22" xfId="0" applyNumberFormat="1" applyFont="1" applyBorder="1" applyAlignment="1">
      <alignment horizontal="center"/>
    </xf>
    <xf numFmtId="0" fontId="1" fillId="0" borderId="0" xfId="0" applyFont="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166" fontId="0" fillId="0" borderId="0" xfId="42"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9"/>
  <sheetViews>
    <sheetView tabSelected="1" zoomScalePageLayoutView="0" workbookViewId="0" topLeftCell="A1">
      <selection activeCell="A1" sqref="A1"/>
    </sheetView>
  </sheetViews>
  <sheetFormatPr defaultColWidth="9.140625" defaultRowHeight="12.75"/>
  <cols>
    <col min="1" max="1" width="78.7109375" style="0" customWidth="1"/>
  </cols>
  <sheetData>
    <row r="1" ht="12.75">
      <c r="A1" s="138" t="s">
        <v>121</v>
      </c>
    </row>
    <row r="3" ht="38.25">
      <c r="A3" s="140" t="s">
        <v>122</v>
      </c>
    </row>
    <row r="5" ht="12.75">
      <c r="A5" s="142" t="s">
        <v>123</v>
      </c>
    </row>
    <row r="7" ht="38.25">
      <c r="A7" s="141" t="s">
        <v>135</v>
      </c>
    </row>
    <row r="9" ht="153">
      <c r="A9" s="141" t="s">
        <v>136</v>
      </c>
    </row>
    <row r="11" ht="38.25">
      <c r="A11" s="143" t="s">
        <v>124</v>
      </c>
    </row>
    <row r="13" ht="38.25">
      <c r="A13" s="140" t="s">
        <v>125</v>
      </c>
    </row>
    <row r="15" ht="25.5">
      <c r="A15" s="141" t="s">
        <v>127</v>
      </c>
    </row>
    <row r="17" ht="38.25">
      <c r="A17" s="141" t="s">
        <v>137</v>
      </c>
    </row>
    <row r="19" ht="102">
      <c r="A19" s="141" t="s">
        <v>130</v>
      </c>
    </row>
    <row r="21" ht="25.5">
      <c r="A21" s="141" t="s">
        <v>128</v>
      </c>
    </row>
    <row r="23" ht="51">
      <c r="A23" s="141" t="s">
        <v>131</v>
      </c>
    </row>
    <row r="25" ht="12.75">
      <c r="A25" s="142" t="s">
        <v>132</v>
      </c>
    </row>
    <row r="27" ht="38.25">
      <c r="A27" s="141" t="s">
        <v>133</v>
      </c>
    </row>
    <row r="29" ht="25.5">
      <c r="A29" s="141" t="s">
        <v>129</v>
      </c>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4:O29"/>
  <sheetViews>
    <sheetView zoomScalePageLayoutView="0" workbookViewId="0" topLeftCell="A1">
      <selection activeCell="A1" sqref="A1"/>
    </sheetView>
  </sheetViews>
  <sheetFormatPr defaultColWidth="8.8515625" defaultRowHeight="12.75"/>
  <cols>
    <col min="1" max="1" width="3.8515625" style="1" customWidth="1"/>
    <col min="2" max="2" width="20.28125" style="1" customWidth="1"/>
    <col min="3" max="3" width="11.421875" style="1" bestFit="1" customWidth="1"/>
    <col min="4" max="4" width="9.8515625" style="1" customWidth="1"/>
    <col min="5" max="6" width="11.421875" style="1" bestFit="1" customWidth="1"/>
    <col min="7" max="7" width="9.8515625" style="1" customWidth="1"/>
    <col min="8" max="8" width="11.421875" style="1" bestFit="1" customWidth="1"/>
    <col min="9" max="9" width="11.421875" style="1" customWidth="1"/>
    <col min="10" max="10" width="11.421875" style="1" bestFit="1" customWidth="1"/>
    <col min="11" max="11" width="8.8515625" style="1" customWidth="1"/>
    <col min="12" max="12" width="1.1484375" style="1" customWidth="1"/>
    <col min="13" max="13" width="9.421875" style="1" bestFit="1" customWidth="1"/>
    <col min="14" max="14" width="1.28515625" style="1" customWidth="1"/>
    <col min="15" max="15" width="11.28125" style="1" customWidth="1"/>
    <col min="16" max="16384" width="8.8515625" style="1" customWidth="1"/>
  </cols>
  <sheetData>
    <row r="1" ht="12.75"/>
    <row r="2" ht="12.75"/>
    <row r="3" ht="12.75"/>
    <row r="4" ht="12.75">
      <c r="F4" s="150"/>
    </row>
    <row r="5" ht="12.75"/>
    <row r="6" spans="2:15" ht="13.5" thickBot="1">
      <c r="B6" s="56"/>
      <c r="C6" s="4" t="s">
        <v>134</v>
      </c>
      <c r="D6" s="41"/>
      <c r="E6" s="42"/>
      <c r="F6" s="4" t="s">
        <v>142</v>
      </c>
      <c r="G6" s="41"/>
      <c r="H6" s="42"/>
      <c r="I6" s="3" t="s">
        <v>165</v>
      </c>
      <c r="J6" s="41"/>
      <c r="K6" s="42"/>
      <c r="L6" s="64"/>
      <c r="M6" s="105"/>
      <c r="N6" s="64"/>
      <c r="O6" s="105"/>
    </row>
    <row r="7" spans="2:15" ht="13.5" thickTop="1">
      <c r="B7" s="56"/>
      <c r="C7" s="35"/>
      <c r="D7" s="36"/>
      <c r="E7" s="38"/>
      <c r="F7" s="35"/>
      <c r="G7" s="52"/>
      <c r="H7" s="102"/>
      <c r="I7" s="54"/>
      <c r="J7" s="55"/>
      <c r="K7" s="53"/>
      <c r="L7" s="61"/>
      <c r="M7" s="107"/>
      <c r="N7" s="61"/>
      <c r="O7" s="38" t="s">
        <v>85</v>
      </c>
    </row>
    <row r="8" spans="1:15" ht="12.75">
      <c r="A8" s="2"/>
      <c r="B8" s="5"/>
      <c r="C8" s="15"/>
      <c r="D8" s="12"/>
      <c r="E8" s="14"/>
      <c r="F8" s="15"/>
      <c r="G8" s="12"/>
      <c r="H8" s="14"/>
      <c r="I8" s="15" t="s">
        <v>86</v>
      </c>
      <c r="J8" s="12" t="s">
        <v>87</v>
      </c>
      <c r="K8" s="14"/>
      <c r="L8" s="62"/>
      <c r="M8" s="106"/>
      <c r="N8" s="62"/>
      <c r="O8" s="14" t="s">
        <v>88</v>
      </c>
    </row>
    <row r="9" spans="1:15" ht="12.75">
      <c r="A9" s="7" t="s">
        <v>25</v>
      </c>
      <c r="B9" s="8"/>
      <c r="C9" s="16" t="s">
        <v>89</v>
      </c>
      <c r="D9" s="13" t="s">
        <v>90</v>
      </c>
      <c r="E9" s="97" t="s">
        <v>91</v>
      </c>
      <c r="F9" s="16" t="s">
        <v>89</v>
      </c>
      <c r="G9" s="13" t="s">
        <v>90</v>
      </c>
      <c r="H9" s="13" t="s">
        <v>91</v>
      </c>
      <c r="I9" s="16" t="s">
        <v>92</v>
      </c>
      <c r="J9" s="13" t="s">
        <v>92</v>
      </c>
      <c r="K9" s="127" t="s">
        <v>93</v>
      </c>
      <c r="L9" s="63"/>
      <c r="M9" s="46" t="s">
        <v>94</v>
      </c>
      <c r="N9" s="63"/>
      <c r="O9" s="97" t="s">
        <v>95</v>
      </c>
    </row>
    <row r="10" spans="1:15" ht="12.75">
      <c r="A10" s="2" t="s">
        <v>34</v>
      </c>
      <c r="B10" s="2" t="s">
        <v>35</v>
      </c>
      <c r="C10" s="54">
        <v>155161</v>
      </c>
      <c r="D10" s="55">
        <v>79718</v>
      </c>
      <c r="E10" s="56">
        <f>+C10-D10</f>
        <v>75443</v>
      </c>
      <c r="F10" s="54">
        <f>105385-2951</f>
        <v>102434</v>
      </c>
      <c r="G10" s="55">
        <v>60542</v>
      </c>
      <c r="H10" s="56">
        <f>+F10-G10</f>
        <v>41892</v>
      </c>
      <c r="I10" s="54">
        <f>+H10+E10</f>
        <v>117335</v>
      </c>
      <c r="J10" s="55">
        <f>+I10/2</f>
        <v>58667.5</v>
      </c>
      <c r="K10" s="1">
        <f>+J10/1000</f>
        <v>58.6675</v>
      </c>
      <c r="L10" s="62"/>
      <c r="M10" s="56"/>
      <c r="N10" s="62"/>
      <c r="O10" s="56">
        <f>+M10+K10</f>
        <v>58.6675</v>
      </c>
    </row>
    <row r="11" spans="1:15" ht="12.75">
      <c r="A11" s="2" t="s">
        <v>36</v>
      </c>
      <c r="B11" s="2" t="s">
        <v>37</v>
      </c>
      <c r="C11" s="54"/>
      <c r="D11" s="55"/>
      <c r="E11" s="56"/>
      <c r="F11" s="54"/>
      <c r="G11" s="55"/>
      <c r="H11" s="56"/>
      <c r="I11" s="54">
        <f aca="true" t="shared" si="0" ref="I11:I25">+H11+E11</f>
        <v>0</v>
      </c>
      <c r="J11" s="55">
        <f>+I11/2</f>
        <v>0</v>
      </c>
      <c r="K11" s="1">
        <f>+J11/1000</f>
        <v>0</v>
      </c>
      <c r="L11" s="62"/>
      <c r="M11" s="56"/>
      <c r="N11" s="62"/>
      <c r="O11" s="56">
        <f aca="true" t="shared" si="1" ref="O11:O25">+M11+K11</f>
        <v>0</v>
      </c>
    </row>
    <row r="12" spans="1:15" ht="12.75">
      <c r="A12" s="2" t="s">
        <v>38</v>
      </c>
      <c r="B12" s="2" t="s">
        <v>39</v>
      </c>
      <c r="C12" s="54">
        <v>179131</v>
      </c>
      <c r="D12" s="55">
        <v>16388</v>
      </c>
      <c r="E12" s="56">
        <f>+C12-D12</f>
        <v>162743</v>
      </c>
      <c r="F12" s="54">
        <f>185035-3033</f>
        <v>182002</v>
      </c>
      <c r="G12" s="55">
        <v>20405</v>
      </c>
      <c r="H12" s="56">
        <f>+F12-G12</f>
        <v>161597</v>
      </c>
      <c r="I12" s="54">
        <f t="shared" si="0"/>
        <v>324340</v>
      </c>
      <c r="J12" s="55">
        <f>+I12/2</f>
        <v>162170</v>
      </c>
      <c r="K12" s="1">
        <f>+J12/1000</f>
        <v>162.17</v>
      </c>
      <c r="L12" s="62"/>
      <c r="M12" s="56"/>
      <c r="N12" s="62"/>
      <c r="O12" s="56">
        <f t="shared" si="1"/>
        <v>162.17</v>
      </c>
    </row>
    <row r="13" spans="1:15" ht="12.75">
      <c r="A13" s="2" t="s">
        <v>40</v>
      </c>
      <c r="B13" s="2" t="s">
        <v>41</v>
      </c>
      <c r="C13" s="54">
        <v>4256</v>
      </c>
      <c r="D13" s="55"/>
      <c r="E13" s="56">
        <f>+C13-D13</f>
        <v>4256</v>
      </c>
      <c r="F13" s="54">
        <f>7722-0</f>
        <v>7722</v>
      </c>
      <c r="G13" s="55"/>
      <c r="H13" s="56">
        <f>+F13-G13</f>
        <v>7722</v>
      </c>
      <c r="I13" s="54">
        <f t="shared" si="0"/>
        <v>11978</v>
      </c>
      <c r="J13" s="55">
        <f>+I13/2</f>
        <v>5989</v>
      </c>
      <c r="K13" s="1">
        <f>+J13/1000</f>
        <v>5.989</v>
      </c>
      <c r="L13" s="62"/>
      <c r="M13" s="56"/>
      <c r="N13" s="62"/>
      <c r="O13" s="56">
        <f t="shared" si="1"/>
        <v>5.989</v>
      </c>
    </row>
    <row r="14" spans="1:15" ht="12.75">
      <c r="A14" s="2" t="s">
        <v>42</v>
      </c>
      <c r="B14" s="2" t="s">
        <v>43</v>
      </c>
      <c r="C14" s="54">
        <v>9211</v>
      </c>
      <c r="D14" s="55">
        <v>5228</v>
      </c>
      <c r="E14" s="56">
        <f>+C14-D14</f>
        <v>3983</v>
      </c>
      <c r="F14" s="54">
        <f>1344-98</f>
        <v>1246</v>
      </c>
      <c r="G14" s="55"/>
      <c r="H14" s="56">
        <f>+F14-G14</f>
        <v>1246</v>
      </c>
      <c r="I14" s="54">
        <f t="shared" si="0"/>
        <v>5229</v>
      </c>
      <c r="J14" s="55">
        <f>+I14/2</f>
        <v>2614.5</v>
      </c>
      <c r="K14" s="1">
        <f>+J14/1000</f>
        <v>2.6145</v>
      </c>
      <c r="L14" s="62"/>
      <c r="M14" s="56"/>
      <c r="N14" s="62"/>
      <c r="O14" s="56">
        <f t="shared" si="1"/>
        <v>2.6145</v>
      </c>
    </row>
    <row r="15" spans="1:15" ht="12.75">
      <c r="A15" s="2" t="s">
        <v>44</v>
      </c>
      <c r="B15" s="2" t="s">
        <v>45</v>
      </c>
      <c r="C15" s="54"/>
      <c r="D15" s="55"/>
      <c r="E15" s="56"/>
      <c r="F15" s="54"/>
      <c r="G15" s="55"/>
      <c r="H15" s="56"/>
      <c r="I15" s="54">
        <f t="shared" si="0"/>
        <v>0</v>
      </c>
      <c r="J15" s="55"/>
      <c r="L15" s="62"/>
      <c r="M15" s="56"/>
      <c r="N15" s="62"/>
      <c r="O15" s="56">
        <f t="shared" si="1"/>
        <v>0</v>
      </c>
    </row>
    <row r="16" spans="1:15" ht="12.75">
      <c r="A16" s="2" t="s">
        <v>46</v>
      </c>
      <c r="B16" s="2" t="s">
        <v>47</v>
      </c>
      <c r="C16" s="54"/>
      <c r="D16" s="55"/>
      <c r="E16" s="56"/>
      <c r="F16" s="54"/>
      <c r="G16" s="55"/>
      <c r="H16" s="56"/>
      <c r="I16" s="54">
        <f t="shared" si="0"/>
        <v>0</v>
      </c>
      <c r="J16" s="55"/>
      <c r="L16" s="62"/>
      <c r="M16" s="56"/>
      <c r="N16" s="62"/>
      <c r="O16" s="56">
        <f t="shared" si="1"/>
        <v>0</v>
      </c>
    </row>
    <row r="17" spans="1:15" ht="12.75">
      <c r="A17" s="2" t="s">
        <v>48</v>
      </c>
      <c r="B17" s="2" t="s">
        <v>49</v>
      </c>
      <c r="C17" s="54">
        <v>12656</v>
      </c>
      <c r="D17" s="55"/>
      <c r="E17" s="56">
        <f>+C17-D17</f>
        <v>12656</v>
      </c>
      <c r="F17" s="54">
        <f>13275-117</f>
        <v>13158</v>
      </c>
      <c r="G17" s="55"/>
      <c r="H17" s="56">
        <f>+F17-G17</f>
        <v>13158</v>
      </c>
      <c r="I17" s="54">
        <f t="shared" si="0"/>
        <v>25814</v>
      </c>
      <c r="J17" s="55">
        <f>+I17/2</f>
        <v>12907</v>
      </c>
      <c r="K17" s="1">
        <f>+J17/1000</f>
        <v>12.907</v>
      </c>
      <c r="L17" s="62"/>
      <c r="M17" s="56"/>
      <c r="N17" s="62"/>
      <c r="O17" s="56">
        <f t="shared" si="1"/>
        <v>12.907</v>
      </c>
    </row>
    <row r="18" spans="1:15" ht="12.75">
      <c r="A18" s="2" t="s">
        <v>50</v>
      </c>
      <c r="B18" s="2" t="s">
        <v>51</v>
      </c>
      <c r="C18" s="54">
        <v>17077</v>
      </c>
      <c r="D18" s="55">
        <v>4796</v>
      </c>
      <c r="E18" s="56">
        <f>+C18-D18</f>
        <v>12281</v>
      </c>
      <c r="F18" s="54">
        <f>6093-18</f>
        <v>6075</v>
      </c>
      <c r="G18" s="55">
        <v>3195</v>
      </c>
      <c r="H18" s="56">
        <f>+F18-G18</f>
        <v>2880</v>
      </c>
      <c r="I18" s="54">
        <f t="shared" si="0"/>
        <v>15161</v>
      </c>
      <c r="J18" s="55">
        <f>+I18/2</f>
        <v>7580.5</v>
      </c>
      <c r="K18" s="1">
        <f>+J18/1000</f>
        <v>7.5805</v>
      </c>
      <c r="L18" s="62"/>
      <c r="M18" s="56"/>
      <c r="N18" s="62"/>
      <c r="O18" s="56">
        <f t="shared" si="1"/>
        <v>7.5805</v>
      </c>
    </row>
    <row r="19" spans="1:15" ht="12.75">
      <c r="A19" s="2" t="s">
        <v>52</v>
      </c>
      <c r="B19" s="2" t="s">
        <v>53</v>
      </c>
      <c r="C19" s="54"/>
      <c r="D19" s="55"/>
      <c r="E19" s="56"/>
      <c r="F19" s="54"/>
      <c r="G19" s="55"/>
      <c r="H19" s="56"/>
      <c r="I19" s="54">
        <f t="shared" si="0"/>
        <v>0</v>
      </c>
      <c r="J19" s="55"/>
      <c r="L19" s="62"/>
      <c r="M19" s="56"/>
      <c r="N19" s="62"/>
      <c r="O19" s="56">
        <f t="shared" si="1"/>
        <v>0</v>
      </c>
    </row>
    <row r="20" spans="1:15" ht="12.75">
      <c r="A20" s="18" t="s">
        <v>54</v>
      </c>
      <c r="B20" s="2" t="s">
        <v>55</v>
      </c>
      <c r="C20" s="54"/>
      <c r="D20" s="55"/>
      <c r="E20" s="56"/>
      <c r="F20" s="54"/>
      <c r="G20" s="55"/>
      <c r="H20" s="56"/>
      <c r="I20" s="54">
        <f t="shared" si="0"/>
        <v>0</v>
      </c>
      <c r="J20" s="55"/>
      <c r="L20" s="62"/>
      <c r="M20" s="56"/>
      <c r="N20" s="62"/>
      <c r="O20" s="56">
        <f t="shared" si="1"/>
        <v>0</v>
      </c>
    </row>
    <row r="21" spans="1:15" ht="12.75">
      <c r="A21" s="2" t="s">
        <v>56</v>
      </c>
      <c r="B21" s="2" t="s">
        <v>57</v>
      </c>
      <c r="C21" s="54"/>
      <c r="D21" s="55"/>
      <c r="E21" s="56"/>
      <c r="F21" s="54"/>
      <c r="G21" s="55"/>
      <c r="H21" s="56"/>
      <c r="I21" s="54">
        <f t="shared" si="0"/>
        <v>0</v>
      </c>
      <c r="J21" s="55"/>
      <c r="L21" s="62"/>
      <c r="M21" s="56"/>
      <c r="N21" s="62"/>
      <c r="O21" s="56">
        <f t="shared" si="1"/>
        <v>0</v>
      </c>
    </row>
    <row r="22" spans="1:15" ht="12.75">
      <c r="A22" s="2" t="s">
        <v>58</v>
      </c>
      <c r="B22" s="2" t="s">
        <v>59</v>
      </c>
      <c r="C22" s="54"/>
      <c r="D22" s="55"/>
      <c r="E22" s="56">
        <f>+C22-D22</f>
        <v>0</v>
      </c>
      <c r="F22" s="54">
        <f>592-36</f>
        <v>556</v>
      </c>
      <c r="G22" s="55"/>
      <c r="H22" s="56">
        <f>+F22-G22</f>
        <v>556</v>
      </c>
      <c r="I22" s="54">
        <f t="shared" si="0"/>
        <v>556</v>
      </c>
      <c r="J22" s="55">
        <f>+I22/2</f>
        <v>278</v>
      </c>
      <c r="K22" s="1">
        <f>+J22/1000</f>
        <v>0.278</v>
      </c>
      <c r="L22" s="62"/>
      <c r="M22" s="56"/>
      <c r="N22" s="62"/>
      <c r="O22" s="56">
        <f t="shared" si="1"/>
        <v>0.278</v>
      </c>
    </row>
    <row r="23" spans="1:15" ht="12.75">
      <c r="A23" s="2" t="s">
        <v>60</v>
      </c>
      <c r="B23" s="2" t="s">
        <v>61</v>
      </c>
      <c r="C23" s="54">
        <f>107595+1128</f>
        <v>108723</v>
      </c>
      <c r="D23" s="55">
        <v>5226</v>
      </c>
      <c r="E23" s="56">
        <f>+C23-D23</f>
        <v>103497</v>
      </c>
      <c r="F23" s="54">
        <f>92072-4248</f>
        <v>87824</v>
      </c>
      <c r="G23" s="55">
        <v>4398</v>
      </c>
      <c r="H23" s="56">
        <f>+F23-G23</f>
        <v>83426</v>
      </c>
      <c r="I23" s="54">
        <f t="shared" si="0"/>
        <v>186923</v>
      </c>
      <c r="J23" s="55">
        <f>+I23/2</f>
        <v>93461.5</v>
      </c>
      <c r="K23" s="1">
        <f>+J23/1000</f>
        <v>93.4615</v>
      </c>
      <c r="L23" s="62"/>
      <c r="M23" s="56"/>
      <c r="N23" s="62"/>
      <c r="O23" s="56">
        <f t="shared" si="1"/>
        <v>93.4615</v>
      </c>
    </row>
    <row r="24" spans="1:15" ht="12.75">
      <c r="A24" s="18" t="s">
        <v>62</v>
      </c>
      <c r="B24" s="2" t="s">
        <v>63</v>
      </c>
      <c r="C24" s="54"/>
      <c r="D24" s="55"/>
      <c r="E24" s="56"/>
      <c r="F24" s="54"/>
      <c r="G24" s="55"/>
      <c r="H24" s="56"/>
      <c r="I24" s="54"/>
      <c r="J24" s="55"/>
      <c r="K24" s="1">
        <f>73+56+88.5</f>
        <v>217.5</v>
      </c>
      <c r="L24" s="62"/>
      <c r="M24" s="56">
        <f>538*1.03</f>
        <v>554.14</v>
      </c>
      <c r="N24" s="62"/>
      <c r="O24" s="56">
        <f t="shared" si="1"/>
        <v>771.64</v>
      </c>
    </row>
    <row r="25" spans="1:15" ht="12.75">
      <c r="A25" s="2" t="s">
        <v>64</v>
      </c>
      <c r="B25" s="2" t="s">
        <v>65</v>
      </c>
      <c r="C25" s="54">
        <v>282</v>
      </c>
      <c r="D25" s="55"/>
      <c r="E25" s="56">
        <f>+C25-D25</f>
        <v>282</v>
      </c>
      <c r="F25" s="54">
        <f>949271*1.03+(6990-360)</f>
        <v>984379.13</v>
      </c>
      <c r="G25" s="55"/>
      <c r="H25" s="56">
        <f>+F25-G25</f>
        <v>984379.13</v>
      </c>
      <c r="I25" s="54">
        <f t="shared" si="0"/>
        <v>984661.13</v>
      </c>
      <c r="J25" s="55">
        <f>+I25</f>
        <v>984661.13</v>
      </c>
      <c r="K25" s="1">
        <f>+J25/1000</f>
        <v>984.66113</v>
      </c>
      <c r="L25" s="62"/>
      <c r="M25" s="56"/>
      <c r="N25" s="62"/>
      <c r="O25" s="56">
        <f t="shared" si="1"/>
        <v>984.66113</v>
      </c>
    </row>
    <row r="26" spans="1:15" ht="12.75">
      <c r="A26" s="2" t="s">
        <v>66</v>
      </c>
      <c r="B26" s="2"/>
      <c r="C26" s="57">
        <f>SUM(C10:C25)</f>
        <v>486497</v>
      </c>
      <c r="D26" s="58">
        <f aca="true" t="shared" si="2" ref="D26:K26">SUM(D10:D25)</f>
        <v>111356</v>
      </c>
      <c r="E26" s="59">
        <f t="shared" si="2"/>
        <v>375141</v>
      </c>
      <c r="F26" s="57">
        <f t="shared" si="2"/>
        <v>1385396.13</v>
      </c>
      <c r="G26" s="58">
        <f t="shared" si="2"/>
        <v>88540</v>
      </c>
      <c r="H26" s="59">
        <f t="shared" si="2"/>
        <v>1296856.13</v>
      </c>
      <c r="I26" s="57">
        <f t="shared" si="2"/>
        <v>1671997.13</v>
      </c>
      <c r="J26" s="58">
        <f t="shared" si="2"/>
        <v>1328329.13</v>
      </c>
      <c r="K26" s="59">
        <f t="shared" si="2"/>
        <v>1545.82913</v>
      </c>
      <c r="L26" s="103"/>
      <c r="M26" s="65">
        <f>+M24</f>
        <v>554.14</v>
      </c>
      <c r="N26" s="103"/>
      <c r="O26" s="59">
        <f>SUM(O10:O25)</f>
        <v>2099.96913</v>
      </c>
    </row>
    <row r="27" ht="12.75">
      <c r="G27" s="17"/>
    </row>
    <row r="28" spans="5:11" ht="12.75">
      <c r="E28" s="55"/>
      <c r="F28" s="55"/>
      <c r="H28" s="56"/>
      <c r="K28" s="131"/>
    </row>
    <row r="29" spans="5:6" ht="12.75">
      <c r="E29" s="55"/>
      <c r="F29" s="55"/>
    </row>
  </sheetData>
  <sheetProtection/>
  <printOptions/>
  <pageMargins left="0.75" right="0.75" top="1" bottom="1" header="0.5" footer="0.5"/>
  <pageSetup fitToHeight="1" fitToWidth="1" horizontalDpi="600" verticalDpi="600" orientation="landscape" scale="85" r:id="rId3"/>
  <headerFooter alignWithMargins="0">
    <oddHeader>&amp;C&amp;A--FY03</oddHeader>
    <oddFooter>&amp;L&amp;8&amp;F
&amp;A&amp;CPage &amp;P</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6:AC33"/>
  <sheetViews>
    <sheetView zoomScalePageLayoutView="0" workbookViewId="0" topLeftCell="A1">
      <selection activeCell="A1" sqref="A1"/>
    </sheetView>
  </sheetViews>
  <sheetFormatPr defaultColWidth="8.8515625" defaultRowHeight="12.75"/>
  <cols>
    <col min="1" max="1" width="3.7109375" style="1" customWidth="1"/>
    <col min="2" max="2" width="20.28125" style="1" customWidth="1"/>
    <col min="3" max="3" width="10.8515625" style="1" customWidth="1"/>
    <col min="4" max="4" width="11.140625" style="1" customWidth="1"/>
    <col min="5" max="5" width="8.8515625" style="1" customWidth="1"/>
    <col min="6" max="6" width="10.421875" style="1" customWidth="1"/>
    <col min="7" max="7" width="2.8515625" style="1" customWidth="1"/>
    <col min="8" max="8" width="10.421875" style="1" customWidth="1"/>
    <col min="9" max="9" width="11.421875" style="1" bestFit="1" customWidth="1"/>
    <col min="10" max="10" width="1.28515625" style="1" customWidth="1"/>
    <col min="11" max="13" width="8.8515625" style="1" customWidth="1"/>
    <col min="14" max="14" width="1.7109375" style="1" customWidth="1"/>
    <col min="15" max="15" width="8.8515625" style="1" bestFit="1" customWidth="1"/>
    <col min="16" max="16" width="1.28515625" style="1" customWidth="1"/>
    <col min="17" max="17" width="10.7109375" style="1" bestFit="1" customWidth="1"/>
    <col min="18" max="18" width="1.421875" style="1" customWidth="1"/>
    <col min="19" max="19" width="10.421875" style="1" customWidth="1"/>
    <col min="20" max="20" width="1.57421875" style="1" customWidth="1"/>
    <col min="21" max="21" width="8.7109375" style="1" bestFit="1" customWidth="1"/>
    <col min="22" max="22" width="1.421875" style="1" customWidth="1"/>
    <col min="23" max="23" width="9.8515625" style="1" customWidth="1"/>
    <col min="24" max="24" width="3.00390625" style="1" customWidth="1"/>
    <col min="25" max="25" width="8.8515625" style="1" customWidth="1"/>
    <col min="26" max="26" width="2.8515625" style="1" customWidth="1"/>
    <col min="27" max="29" width="8.8515625" style="1" hidden="1" customWidth="1"/>
    <col min="30" max="16384" width="8.8515625" style="1" customWidth="1"/>
  </cols>
  <sheetData>
    <row r="1" ht="12.75"/>
    <row r="2" ht="12.75"/>
    <row r="3" ht="12.75"/>
    <row r="4" ht="12.75"/>
    <row r="5" ht="12.75"/>
    <row r="6" spans="1:23" ht="13.5" thickBot="1">
      <c r="A6" s="2" t="s">
        <v>9</v>
      </c>
      <c r="B6" s="2"/>
      <c r="C6" s="3" t="s">
        <v>96</v>
      </c>
      <c r="D6" s="41"/>
      <c r="E6" s="41"/>
      <c r="F6" s="41"/>
      <c r="G6" s="41"/>
      <c r="H6" s="42"/>
      <c r="I6" s="42"/>
      <c r="J6" s="40"/>
      <c r="K6" s="3" t="s">
        <v>97</v>
      </c>
      <c r="L6" s="4"/>
      <c r="M6" s="41"/>
      <c r="N6" s="42"/>
      <c r="O6" s="42"/>
      <c r="P6" s="40"/>
      <c r="Q6" s="64"/>
      <c r="R6" s="105"/>
      <c r="S6" s="40"/>
      <c r="T6" s="40"/>
      <c r="U6" s="40"/>
      <c r="V6" s="64"/>
      <c r="W6" s="64"/>
    </row>
    <row r="7" spans="1:27" ht="13.5" thickTop="1">
      <c r="A7" s="2"/>
      <c r="B7" s="6"/>
      <c r="C7" s="35" t="s">
        <v>98</v>
      </c>
      <c r="D7" s="36"/>
      <c r="E7"/>
      <c r="F7"/>
      <c r="G7"/>
      <c r="H7" s="36"/>
      <c r="I7" s="24"/>
      <c r="J7" s="37"/>
      <c r="K7" s="35" t="s">
        <v>18</v>
      </c>
      <c r="L7" s="36"/>
      <c r="M7" s="36" t="s">
        <v>99</v>
      </c>
      <c r="N7" s="36"/>
      <c r="O7" s="38"/>
      <c r="P7" s="36"/>
      <c r="Q7" s="44" t="s">
        <v>100</v>
      </c>
      <c r="R7" s="44"/>
      <c r="S7" s="44" t="s">
        <v>101</v>
      </c>
      <c r="T7" s="44"/>
      <c r="U7" s="44"/>
      <c r="V7" s="61"/>
      <c r="W7" s="81"/>
      <c r="Y7" s="151" t="s">
        <v>142</v>
      </c>
      <c r="AA7" s="61" t="s">
        <v>140</v>
      </c>
    </row>
    <row r="8" spans="1:27" ht="12.75">
      <c r="A8" s="2"/>
      <c r="B8" s="6"/>
      <c r="C8" s="15" t="s">
        <v>102</v>
      </c>
      <c r="D8" s="12" t="s">
        <v>103</v>
      </c>
      <c r="E8" s="12" t="s">
        <v>104</v>
      </c>
      <c r="F8" s="12" t="s">
        <v>105</v>
      </c>
      <c r="G8" s="12"/>
      <c r="H8" s="101" t="s">
        <v>6</v>
      </c>
      <c r="I8" s="14" t="s">
        <v>106</v>
      </c>
      <c r="J8" s="6"/>
      <c r="K8" s="43" t="s">
        <v>67</v>
      </c>
      <c r="L8" s="101" t="s">
        <v>6</v>
      </c>
      <c r="M8" s="21" t="s">
        <v>107</v>
      </c>
      <c r="N8" s="12"/>
      <c r="O8" s="14" t="s">
        <v>27</v>
      </c>
      <c r="P8" s="12"/>
      <c r="Q8" s="45" t="s">
        <v>108</v>
      </c>
      <c r="R8" s="45"/>
      <c r="S8" s="45" t="s">
        <v>109</v>
      </c>
      <c r="T8" s="45"/>
      <c r="U8" s="45" t="s">
        <v>115</v>
      </c>
      <c r="V8" s="62"/>
      <c r="W8" s="45" t="s">
        <v>27</v>
      </c>
      <c r="Y8" s="152" t="s">
        <v>27</v>
      </c>
      <c r="AA8" s="62" t="s">
        <v>141</v>
      </c>
    </row>
    <row r="9" spans="1:27" ht="12.75">
      <c r="A9" s="7" t="s">
        <v>25</v>
      </c>
      <c r="B9" s="7"/>
      <c r="C9" s="70" t="s">
        <v>110</v>
      </c>
      <c r="D9" s="39"/>
      <c r="E9" s="12" t="s">
        <v>24</v>
      </c>
      <c r="F9" s="12" t="s">
        <v>23</v>
      </c>
      <c r="G9" s="12"/>
      <c r="H9" s="13" t="s">
        <v>82</v>
      </c>
      <c r="I9" s="14" t="s">
        <v>26</v>
      </c>
      <c r="J9" s="39"/>
      <c r="K9" s="16" t="s">
        <v>26</v>
      </c>
      <c r="L9" s="13" t="s">
        <v>82</v>
      </c>
      <c r="M9" s="13" t="s">
        <v>111</v>
      </c>
      <c r="N9" s="13"/>
      <c r="O9" s="97" t="s">
        <v>67</v>
      </c>
      <c r="P9" s="13"/>
      <c r="Q9" s="46" t="s">
        <v>26</v>
      </c>
      <c r="R9" s="46"/>
      <c r="S9" s="46" t="s">
        <v>112</v>
      </c>
      <c r="T9" s="46"/>
      <c r="U9" s="46" t="s">
        <v>116</v>
      </c>
      <c r="V9" s="63"/>
      <c r="W9" s="46" t="s">
        <v>26</v>
      </c>
      <c r="Y9" s="153" t="s">
        <v>26</v>
      </c>
      <c r="AA9" s="63"/>
    </row>
    <row r="10" spans="1:29" ht="12.75">
      <c r="A10" s="66" t="s">
        <v>34</v>
      </c>
      <c r="B10" s="67" t="s">
        <v>35</v>
      </c>
      <c r="C10" s="51">
        <f>+'UG Distribution'!E10</f>
        <v>4002.14448125449</v>
      </c>
      <c r="D10" s="55">
        <f>+'UG Distribution'!H10+'UG Distribution'!J10</f>
        <v>19.152</v>
      </c>
      <c r="E10" s="52">
        <f>+'UG Distribution'!S10</f>
        <v>3089.707059735017</v>
      </c>
      <c r="F10" s="52">
        <f>-'UG Distribution'!O10</f>
        <v>-40.6665</v>
      </c>
      <c r="G10" s="52"/>
      <c r="H10" s="52">
        <f>+'UG Summer'!E10</f>
        <v>134.33481163952692</v>
      </c>
      <c r="I10" s="53">
        <f>SUM(C10:H10)</f>
        <v>7204.671852629034</v>
      </c>
      <c r="K10" s="51">
        <f>+'Grad Distribution'!I10</f>
        <v>253.64254888689314</v>
      </c>
      <c r="L10" s="52">
        <f>+'Grad Summer'!E10</f>
        <v>29.540833374092525</v>
      </c>
      <c r="M10" s="52"/>
      <c r="N10" s="52"/>
      <c r="O10" s="53">
        <f>+N10+M10+K10+L10</f>
        <v>283.18338226098564</v>
      </c>
      <c r="Q10" s="61"/>
      <c r="R10" s="62"/>
      <c r="S10" s="55">
        <f>+Extramural!O10</f>
        <v>58.6675</v>
      </c>
      <c r="T10" s="61"/>
      <c r="U10" s="55"/>
      <c r="V10" s="62"/>
      <c r="W10" s="62">
        <f aca="true" t="shared" si="0" ref="W10:W24">+Q10+O10+I10+S10</f>
        <v>7546.52273489002</v>
      </c>
      <c r="Y10" s="62">
        <v>7278.650484771202</v>
      </c>
      <c r="AA10" s="62">
        <f>+W10-Y10</f>
        <v>267.87225011881765</v>
      </c>
      <c r="AB10" s="1">
        <f>+Y10*1.044</f>
        <v>7598.911106101135</v>
      </c>
      <c r="AC10" s="1">
        <f>+W10-AB10</f>
        <v>-52.388371211115555</v>
      </c>
    </row>
    <row r="11" spans="1:29" ht="12.75">
      <c r="A11" s="68" t="s">
        <v>36</v>
      </c>
      <c r="B11" s="5" t="s">
        <v>37</v>
      </c>
      <c r="C11" s="54">
        <f>+'UG Distribution'!E11</f>
        <v>6413.3470058465455</v>
      </c>
      <c r="D11" s="55">
        <f>+'UG Distribution'!H11+'UG Distribution'!J11</f>
        <v>0</v>
      </c>
      <c r="E11" s="55">
        <f>+'UG Distribution'!S11</f>
        <v>6354.795836378409</v>
      </c>
      <c r="F11" s="55">
        <f>-'UG Distribution'!O11</f>
        <v>-0.931</v>
      </c>
      <c r="G11" s="55"/>
      <c r="H11" s="55">
        <f>+'UG Summer'!E11</f>
        <v>787.700393615874</v>
      </c>
      <c r="I11" s="56">
        <f aca="true" t="shared" si="1" ref="I11:I25">SUM(C11:H11)</f>
        <v>13554.91223584083</v>
      </c>
      <c r="K11" s="54">
        <f>+'Grad Distribution'!I11</f>
        <v>167.58327344679793</v>
      </c>
      <c r="L11" s="55">
        <f>+'Grad Summer'!E11</f>
        <v>81.38931852959466</v>
      </c>
      <c r="M11" s="55">
        <f>+'Grad Distribution'!K11</f>
        <v>12891.480000000001</v>
      </c>
      <c r="N11" s="55"/>
      <c r="O11" s="56">
        <f aca="true" t="shared" si="2" ref="O11:O25">+N11+M11+K11+L11</f>
        <v>13140.452591976395</v>
      </c>
      <c r="Q11" s="62"/>
      <c r="R11" s="62"/>
      <c r="S11" s="55">
        <f>+Extramural!O11</f>
        <v>0</v>
      </c>
      <c r="T11" s="62"/>
      <c r="U11" s="55">
        <v>1930.2634876966972</v>
      </c>
      <c r="V11" s="62"/>
      <c r="W11" s="62">
        <f>+Q11+O11+I11+S11+U11</f>
        <v>28625.628315513924</v>
      </c>
      <c r="Y11" s="62">
        <v>26133.686266337718</v>
      </c>
      <c r="AA11" s="62">
        <f aca="true" t="shared" si="3" ref="AA11:AA26">+W11-Y11</f>
        <v>2491.9420491762066</v>
      </c>
      <c r="AB11" s="1">
        <f aca="true" t="shared" si="4" ref="AB11:AB26">+Y11*1.044</f>
        <v>27283.568462056577</v>
      </c>
      <c r="AC11" s="1">
        <f aca="true" t="shared" si="5" ref="AC11:AC26">+W11-AB11</f>
        <v>1342.0598534573473</v>
      </c>
    </row>
    <row r="12" spans="1:29" ht="12.75">
      <c r="A12" s="68" t="s">
        <v>38</v>
      </c>
      <c r="B12" s="5" t="s">
        <v>39</v>
      </c>
      <c r="C12" s="54">
        <f>+'UG Distribution'!E12</f>
        <v>1184.1070262189203</v>
      </c>
      <c r="D12" s="55">
        <f>+'UG Distribution'!H12+'UG Distribution'!J12</f>
        <v>0</v>
      </c>
      <c r="E12" s="55">
        <f>+'UG Distribution'!S12</f>
        <v>1575.133428390412</v>
      </c>
      <c r="F12" s="55">
        <f>-'UG Distribution'!O12</f>
        <v>-0.591</v>
      </c>
      <c r="G12" s="55"/>
      <c r="H12" s="55">
        <f>+'UG Summer'!E12</f>
        <v>113.12022808152702</v>
      </c>
      <c r="I12" s="56">
        <f t="shared" si="1"/>
        <v>2871.769682690859</v>
      </c>
      <c r="K12" s="54">
        <f>+'Grad Distribution'!I12</f>
        <v>788.8347776633882</v>
      </c>
      <c r="L12" s="55">
        <f>+'Grad Summer'!E12</f>
        <v>139.06477392622818</v>
      </c>
      <c r="M12" s="55"/>
      <c r="N12" s="55"/>
      <c r="O12" s="56">
        <f t="shared" si="2"/>
        <v>927.8995515896164</v>
      </c>
      <c r="Q12" s="62"/>
      <c r="R12" s="62"/>
      <c r="S12" s="55">
        <f>+Extramural!O12</f>
        <v>162.17</v>
      </c>
      <c r="T12" s="62"/>
      <c r="U12" s="55"/>
      <c r="V12" s="62"/>
      <c r="W12" s="62">
        <f t="shared" si="0"/>
        <v>3961.8392342804755</v>
      </c>
      <c r="Y12" s="62">
        <v>3613.837954088811</v>
      </c>
      <c r="AA12" s="62">
        <f t="shared" si="3"/>
        <v>348.0012801916646</v>
      </c>
      <c r="AB12" s="1">
        <f t="shared" si="4"/>
        <v>3772.846824068719</v>
      </c>
      <c r="AC12" s="1">
        <f t="shared" si="5"/>
        <v>188.99241021175658</v>
      </c>
    </row>
    <row r="13" spans="1:29" ht="12.75">
      <c r="A13" s="68" t="s">
        <v>40</v>
      </c>
      <c r="B13" s="5" t="s">
        <v>41</v>
      </c>
      <c r="C13" s="54">
        <f>+'UG Distribution'!E13</f>
        <v>11027.190349398968</v>
      </c>
      <c r="D13" s="55">
        <f>+'UG Distribution'!H13+'UG Distribution'!J13</f>
        <v>2534.0595</v>
      </c>
      <c r="E13" s="55">
        <f>+'UG Distribution'!S13</f>
        <v>7784.163637478126</v>
      </c>
      <c r="F13" s="55">
        <f>-'UG Distribution'!O13</f>
        <v>-116.534</v>
      </c>
      <c r="G13" s="55"/>
      <c r="H13" s="55">
        <f>+'UG Summer'!E13</f>
        <v>574.7553785182788</v>
      </c>
      <c r="I13" s="56">
        <f t="shared" si="1"/>
        <v>21803.634865395372</v>
      </c>
      <c r="K13" s="54">
        <f>+'Grad Distribution'!I13</f>
        <v>1693.6891158594906</v>
      </c>
      <c r="L13" s="55">
        <f>+'Grad Summer'!E13</f>
        <v>116.02312024427566</v>
      </c>
      <c r="M13" s="55"/>
      <c r="N13" s="55"/>
      <c r="O13" s="56">
        <f t="shared" si="2"/>
        <v>1809.7122361037661</v>
      </c>
      <c r="Q13" s="62"/>
      <c r="R13" s="62"/>
      <c r="S13" s="55">
        <f>+Extramural!O13</f>
        <v>5.989</v>
      </c>
      <c r="T13" s="62"/>
      <c r="U13" s="55"/>
      <c r="V13" s="62"/>
      <c r="W13" s="62">
        <f t="shared" si="0"/>
        <v>23619.33610149914</v>
      </c>
      <c r="Y13" s="62">
        <v>22892.01582368348</v>
      </c>
      <c r="AA13" s="62">
        <f t="shared" si="3"/>
        <v>727.3202778156592</v>
      </c>
      <c r="AB13" s="1">
        <f t="shared" si="4"/>
        <v>23899.264519925553</v>
      </c>
      <c r="AC13" s="1">
        <f t="shared" si="5"/>
        <v>-279.9284184264143</v>
      </c>
    </row>
    <row r="14" spans="1:29" ht="12.75">
      <c r="A14" s="68" t="s">
        <v>42</v>
      </c>
      <c r="B14" s="5" t="s">
        <v>43</v>
      </c>
      <c r="C14" s="54">
        <f>+'UG Distribution'!E14</f>
        <v>4087.3830178485755</v>
      </c>
      <c r="D14" s="55">
        <f>+'UG Distribution'!H14+'UG Distribution'!J14</f>
        <v>464.4055</v>
      </c>
      <c r="E14" s="55">
        <f>+'UG Distribution'!S14</f>
        <v>3948.811949023963</v>
      </c>
      <c r="F14" s="55">
        <f>-'UG Distribution'!O14</f>
        <v>-6.3155</v>
      </c>
      <c r="G14" s="55"/>
      <c r="H14" s="55">
        <f>+'UG Summer'!E14</f>
        <v>189.04228225313634</v>
      </c>
      <c r="I14" s="56">
        <f t="shared" si="1"/>
        <v>8683.327249125674</v>
      </c>
      <c r="K14" s="54">
        <f>+'Grad Distribution'!I14</f>
        <v>1120.7797654626568</v>
      </c>
      <c r="L14" s="55">
        <f>+'Grad Summer'!E14</f>
        <v>65.16273678179392</v>
      </c>
      <c r="M14" s="55"/>
      <c r="N14" s="55"/>
      <c r="O14" s="56">
        <f t="shared" si="2"/>
        <v>1185.9425022444507</v>
      </c>
      <c r="Q14" s="62"/>
      <c r="R14" s="62"/>
      <c r="S14" s="55">
        <f>+Extramural!O14</f>
        <v>2.6145</v>
      </c>
      <c r="T14" s="62"/>
      <c r="U14" s="55"/>
      <c r="V14" s="62"/>
      <c r="W14" s="62">
        <f t="shared" si="0"/>
        <v>9871.884251370124</v>
      </c>
      <c r="Y14" s="62">
        <v>9963.14434405462</v>
      </c>
      <c r="AA14" s="62">
        <f t="shared" si="3"/>
        <v>-91.26009268449707</v>
      </c>
      <c r="AB14" s="1">
        <f t="shared" si="4"/>
        <v>10401.522695193025</v>
      </c>
      <c r="AC14" s="1">
        <f t="shared" si="5"/>
        <v>-529.6384438229015</v>
      </c>
    </row>
    <row r="15" spans="1:29" ht="12.75">
      <c r="A15" s="68" t="s">
        <v>44</v>
      </c>
      <c r="B15" s="5" t="s">
        <v>45</v>
      </c>
      <c r="C15" s="54">
        <f>+'UG Distribution'!E15</f>
        <v>957.5941272210385</v>
      </c>
      <c r="D15" s="55">
        <f>+'UG Distribution'!H15+'UG Distribution'!J15</f>
        <v>0</v>
      </c>
      <c r="E15" s="55">
        <f>+'UG Distribution'!S15</f>
        <v>937.8768793755105</v>
      </c>
      <c r="F15" s="55">
        <f>-'UG Distribution'!O15</f>
        <v>-0.591</v>
      </c>
      <c r="G15" s="55"/>
      <c r="H15" s="55">
        <f>+'UG Summer'!E15</f>
        <v>47.3695495884108</v>
      </c>
      <c r="I15" s="56">
        <f t="shared" si="1"/>
        <v>1942.24955618496</v>
      </c>
      <c r="K15" s="54">
        <f>+'Grad Distribution'!I15</f>
        <v>45.83375610949262</v>
      </c>
      <c r="L15" s="55">
        <f>+'Grad Summer'!E15</f>
        <v>3.8969668173592233</v>
      </c>
      <c r="M15" s="55"/>
      <c r="N15" s="55"/>
      <c r="O15" s="56">
        <f t="shared" si="2"/>
        <v>49.73072292685184</v>
      </c>
      <c r="Q15" s="62"/>
      <c r="R15" s="62"/>
      <c r="S15" s="55">
        <f>+Extramural!O15</f>
        <v>0</v>
      </c>
      <c r="T15" s="62"/>
      <c r="U15" s="55"/>
      <c r="V15" s="62"/>
      <c r="W15" s="62">
        <f t="shared" si="0"/>
        <v>1991.9802791118118</v>
      </c>
      <c r="Y15" s="62">
        <v>1974.818641044742</v>
      </c>
      <c r="AA15" s="62">
        <f t="shared" si="3"/>
        <v>17.161638067069816</v>
      </c>
      <c r="AB15" s="1">
        <f t="shared" si="4"/>
        <v>2061.710661250711</v>
      </c>
      <c r="AC15" s="1">
        <f t="shared" si="5"/>
        <v>-69.73038213889913</v>
      </c>
    </row>
    <row r="16" spans="1:29" ht="12.75">
      <c r="A16" s="68" t="s">
        <v>46</v>
      </c>
      <c r="B16" s="5" t="s">
        <v>47</v>
      </c>
      <c r="C16" s="54">
        <f>+'UG Distribution'!E16</f>
        <v>0</v>
      </c>
      <c r="D16" s="55">
        <f>+'UG Distribution'!H16+'UG Distribution'!J16</f>
        <v>0</v>
      </c>
      <c r="E16" s="55">
        <f>+'UG Distribution'!S16</f>
        <v>16.135662619287576</v>
      </c>
      <c r="F16" s="55">
        <f>-'UG Distribution'!O16</f>
        <v>0</v>
      </c>
      <c r="G16" s="55"/>
      <c r="H16" s="55">
        <f>+'UG Summer'!E16</f>
        <v>0.6538741507602718</v>
      </c>
      <c r="I16" s="56">
        <f t="shared" si="1"/>
        <v>16.789536770047846</v>
      </c>
      <c r="K16" s="54"/>
      <c r="L16" s="55"/>
      <c r="M16" s="55"/>
      <c r="N16" s="55"/>
      <c r="O16" s="56"/>
      <c r="Q16" s="62">
        <f>+'Prof. Tuition'!F16</f>
        <v>7868.06</v>
      </c>
      <c r="R16" s="62"/>
      <c r="S16" s="55">
        <f>+Extramural!O16</f>
        <v>0</v>
      </c>
      <c r="T16" s="62"/>
      <c r="U16" s="55"/>
      <c r="V16" s="62"/>
      <c r="W16" s="62">
        <f t="shared" si="0"/>
        <v>7884.849536770048</v>
      </c>
      <c r="Y16" s="62">
        <v>6601.613369048381</v>
      </c>
      <c r="AA16" s="62">
        <f t="shared" si="3"/>
        <v>1283.2361677216668</v>
      </c>
      <c r="AB16" s="1">
        <f t="shared" si="4"/>
        <v>6892.084357286511</v>
      </c>
      <c r="AC16" s="1">
        <f t="shared" si="5"/>
        <v>992.7651794835374</v>
      </c>
    </row>
    <row r="17" spans="1:29" ht="12.75">
      <c r="A17" s="68" t="s">
        <v>48</v>
      </c>
      <c r="B17" s="5" t="s">
        <v>49</v>
      </c>
      <c r="C17" s="54">
        <f>+'UG Distribution'!E17</f>
        <v>25239.454581242153</v>
      </c>
      <c r="D17" s="55">
        <f>+'UG Distribution'!H17+'UG Distribution'!J17</f>
        <v>1637.9485</v>
      </c>
      <c r="E17" s="55">
        <f>+'UG Distribution'!S17</f>
        <v>28987.17323183302</v>
      </c>
      <c r="F17" s="55">
        <f>-'UG Distribution'!O17</f>
        <v>-367.452</v>
      </c>
      <c r="G17" s="55"/>
      <c r="H17" s="55">
        <f>+'UG Summer'!E17</f>
        <v>1952.1049507530824</v>
      </c>
      <c r="I17" s="56">
        <f t="shared" si="1"/>
        <v>57449.22926382826</v>
      </c>
      <c r="K17" s="54">
        <f>+'Grad Distribution'!I17</f>
        <v>1157.1837049554977</v>
      </c>
      <c r="L17" s="55">
        <f>+'Grad Summer'!E17</f>
        <v>90.81757582956601</v>
      </c>
      <c r="M17" s="55"/>
      <c r="N17" s="55"/>
      <c r="O17" s="56">
        <f t="shared" si="2"/>
        <v>1248.0012807850637</v>
      </c>
      <c r="Q17" s="62"/>
      <c r="R17" s="62"/>
      <c r="S17" s="55">
        <f>+Extramural!O17</f>
        <v>12.907</v>
      </c>
      <c r="T17" s="62"/>
      <c r="U17" s="55">
        <f>-U11</f>
        <v>-1930.2634876966972</v>
      </c>
      <c r="V17" s="62"/>
      <c r="W17" s="62">
        <f>+Q17+O17+I17+S17+U17</f>
        <v>56779.874056916626</v>
      </c>
      <c r="Y17" s="62">
        <v>56154.56056089078</v>
      </c>
      <c r="AA17" s="62">
        <f t="shared" si="3"/>
        <v>625.3134960258467</v>
      </c>
      <c r="AB17" s="1">
        <f t="shared" si="4"/>
        <v>58625.36122556998</v>
      </c>
      <c r="AC17" s="1">
        <f t="shared" si="5"/>
        <v>-1845.4871686533515</v>
      </c>
    </row>
    <row r="18" spans="1:29" ht="12.75">
      <c r="A18" s="68" t="s">
        <v>50</v>
      </c>
      <c r="B18" s="5" t="s">
        <v>51</v>
      </c>
      <c r="C18" s="54">
        <f>+'UG Distribution'!E18</f>
        <v>2262.607172305849</v>
      </c>
      <c r="D18" s="55">
        <f>+'UG Distribution'!H18</f>
        <v>0</v>
      </c>
      <c r="E18" s="55">
        <f>+'UG Distribution'!S18</f>
        <v>2384.469670528729</v>
      </c>
      <c r="F18" s="55">
        <f>-'UG Distribution'!O18</f>
        <v>-1.8175</v>
      </c>
      <c r="G18" s="55"/>
      <c r="H18" s="55">
        <f>+'UG Summer'!E18</f>
        <v>200.4487535497322</v>
      </c>
      <c r="I18" s="56">
        <f t="shared" si="1"/>
        <v>4845.70809638431</v>
      </c>
      <c r="K18" s="54">
        <f>+'Grad Distribution'!I18</f>
        <v>204.81297875276542</v>
      </c>
      <c r="L18" s="55">
        <f>+'Grad Summer'!E18</f>
        <v>24.82092972882327</v>
      </c>
      <c r="M18" s="55"/>
      <c r="N18" s="55"/>
      <c r="O18" s="56">
        <f t="shared" si="2"/>
        <v>229.6339084815887</v>
      </c>
      <c r="Q18" s="62"/>
      <c r="R18" s="62"/>
      <c r="S18" s="55">
        <f>+Extramural!O18</f>
        <v>7.5805</v>
      </c>
      <c r="T18" s="62"/>
      <c r="U18" s="55"/>
      <c r="V18" s="62"/>
      <c r="W18" s="62">
        <f t="shared" si="0"/>
        <v>5082.922504865899</v>
      </c>
      <c r="Y18" s="62">
        <v>4578.828988942205</v>
      </c>
      <c r="AA18" s="62">
        <f t="shared" si="3"/>
        <v>504.0935159236942</v>
      </c>
      <c r="AB18" s="1">
        <f t="shared" si="4"/>
        <v>4780.2974644556625</v>
      </c>
      <c r="AC18" s="1">
        <f t="shared" si="5"/>
        <v>302.6250404102366</v>
      </c>
    </row>
    <row r="19" spans="1:29" ht="12.75">
      <c r="A19" s="68" t="s">
        <v>52</v>
      </c>
      <c r="B19" s="5" t="s">
        <v>53</v>
      </c>
      <c r="C19" s="54">
        <f>+'UG Distribution'!E19</f>
        <v>0</v>
      </c>
      <c r="D19" s="55">
        <f>+'UG Distribution'!H19</f>
        <v>0</v>
      </c>
      <c r="E19" s="55">
        <f>+'UG Distribution'!S19</f>
        <v>30.02458740550979</v>
      </c>
      <c r="F19" s="55">
        <f>-'UG Distribution'!O19</f>
        <v>0</v>
      </c>
      <c r="G19" s="55"/>
      <c r="H19" s="55">
        <f>+'UG Summer'!E19</f>
        <v>2.470191236205471</v>
      </c>
      <c r="I19" s="56">
        <f t="shared" si="1"/>
        <v>32.494778641715264</v>
      </c>
      <c r="K19" s="54">
        <f>+'Grad Distribution'!I19</f>
        <v>71.7531508334611</v>
      </c>
      <c r="L19" s="55">
        <f>+'Grad Summer'!E19</f>
        <v>5.857000216605993</v>
      </c>
      <c r="M19" s="55"/>
      <c r="N19" s="55"/>
      <c r="O19" s="56">
        <f t="shared" si="2"/>
        <v>77.6101510500671</v>
      </c>
      <c r="Q19" s="62">
        <f>+'Prof. Tuition'!F19</f>
        <v>4433.12</v>
      </c>
      <c r="R19" s="62"/>
      <c r="S19" s="55">
        <f>+Extramural!O19</f>
        <v>0</v>
      </c>
      <c r="T19" s="62"/>
      <c r="U19" s="55"/>
      <c r="V19" s="62"/>
      <c r="W19" s="62">
        <f t="shared" si="0"/>
        <v>4543.224929691783</v>
      </c>
      <c r="Y19" s="62">
        <v>3964.2942074423245</v>
      </c>
      <c r="AA19" s="62">
        <f t="shared" si="3"/>
        <v>578.9307222494581</v>
      </c>
      <c r="AB19" s="1">
        <f t="shared" si="4"/>
        <v>4138.723152569787</v>
      </c>
      <c r="AC19" s="1">
        <f t="shared" si="5"/>
        <v>404.5017771219955</v>
      </c>
    </row>
    <row r="20" spans="1:29" ht="12.75">
      <c r="A20" s="69" t="s">
        <v>54</v>
      </c>
      <c r="B20" s="5" t="s">
        <v>55</v>
      </c>
      <c r="C20" s="54">
        <f>+'UG Distribution'!E20</f>
        <v>0</v>
      </c>
      <c r="D20" s="55">
        <f>+'UG Distribution'!H20</f>
        <v>0</v>
      </c>
      <c r="E20" s="55">
        <f>+'UG Distribution'!S20</f>
        <v>168.47129599758273</v>
      </c>
      <c r="F20" s="55">
        <f>-'UG Distribution'!O20</f>
        <v>0</v>
      </c>
      <c r="G20" s="55"/>
      <c r="H20" s="55">
        <f>+'UG Summer'!E20</f>
        <v>0</v>
      </c>
      <c r="I20" s="56">
        <f t="shared" si="1"/>
        <v>168.47129599758273</v>
      </c>
      <c r="K20" s="54">
        <f>+'Grad Distribution'!I20</f>
        <v>0</v>
      </c>
      <c r="L20" s="55">
        <f>+'Grad Summer'!E20</f>
        <v>0</v>
      </c>
      <c r="M20" s="55"/>
      <c r="N20" s="55"/>
      <c r="O20" s="56">
        <f t="shared" si="2"/>
        <v>0</v>
      </c>
      <c r="Q20" s="62"/>
      <c r="R20" s="62"/>
      <c r="S20" s="55">
        <f>+Extramural!O20</f>
        <v>0</v>
      </c>
      <c r="T20" s="62"/>
      <c r="U20" s="55"/>
      <c r="V20" s="62"/>
      <c r="W20" s="62">
        <f t="shared" si="0"/>
        <v>168.47129599758273</v>
      </c>
      <c r="Y20" s="62">
        <v>159.23105363703158</v>
      </c>
      <c r="AA20" s="62">
        <f t="shared" si="3"/>
        <v>9.24024236055115</v>
      </c>
      <c r="AB20" s="1">
        <f t="shared" si="4"/>
        <v>166.23721999706098</v>
      </c>
      <c r="AC20" s="1">
        <f t="shared" si="5"/>
        <v>2.2340760005217533</v>
      </c>
    </row>
    <row r="21" spans="1:29" ht="12.75">
      <c r="A21" s="68" t="s">
        <v>56</v>
      </c>
      <c r="B21" s="5" t="s">
        <v>57</v>
      </c>
      <c r="C21" s="54">
        <f>+'UG Distribution'!E21</f>
        <v>424.01473866346043</v>
      </c>
      <c r="D21" s="55">
        <f>+'UG Distribution'!H21</f>
        <v>0</v>
      </c>
      <c r="E21" s="55">
        <f>+'UG Distribution'!S21</f>
        <v>186.41115717978641</v>
      </c>
      <c r="F21" s="55">
        <f>-'UG Distribution'!O21</f>
        <v>0</v>
      </c>
      <c r="G21" s="55"/>
      <c r="H21" s="55">
        <f>+'UG Summer'!E21</f>
        <v>38.2879641611848</v>
      </c>
      <c r="I21" s="56">
        <f t="shared" si="1"/>
        <v>648.7138600044317</v>
      </c>
      <c r="K21" s="54">
        <f>+'Grad Distribution'!I21</f>
        <v>0</v>
      </c>
      <c r="L21" s="55">
        <f>+'Grad Summer'!E21</f>
        <v>0</v>
      </c>
      <c r="M21" s="55"/>
      <c r="N21" s="55"/>
      <c r="O21" s="56">
        <f t="shared" si="2"/>
        <v>0</v>
      </c>
      <c r="Q21" s="62"/>
      <c r="R21" s="62"/>
      <c r="S21" s="55">
        <f>+Extramural!O21</f>
        <v>0</v>
      </c>
      <c r="T21" s="62"/>
      <c r="U21" s="55"/>
      <c r="V21" s="62"/>
      <c r="W21" s="62">
        <f t="shared" si="0"/>
        <v>648.7138600044317</v>
      </c>
      <c r="Y21" s="62">
        <v>544.4669293779054</v>
      </c>
      <c r="AA21" s="62">
        <f t="shared" si="3"/>
        <v>104.24693062652625</v>
      </c>
      <c r="AB21" s="1">
        <f t="shared" si="4"/>
        <v>568.4234742705333</v>
      </c>
      <c r="AC21" s="1">
        <f t="shared" si="5"/>
        <v>80.29038573389835</v>
      </c>
    </row>
    <row r="22" spans="1:29" ht="12.75">
      <c r="A22" s="68" t="s">
        <v>58</v>
      </c>
      <c r="B22" s="5" t="s">
        <v>59</v>
      </c>
      <c r="C22" s="54">
        <f>+'UG Distribution'!E22</f>
        <v>0</v>
      </c>
      <c r="D22" s="55">
        <f>+'UG Distribution'!H22</f>
        <v>0</v>
      </c>
      <c r="E22" s="55">
        <f>+'UG Distribution'!S22</f>
        <v>2.4509867269803913</v>
      </c>
      <c r="F22" s="55">
        <f>-'UG Distribution'!O22</f>
        <v>0</v>
      </c>
      <c r="G22" s="55"/>
      <c r="H22" s="55">
        <f>+'UG Summer'!E22</f>
        <v>0.5812214673424638</v>
      </c>
      <c r="I22" s="56">
        <f t="shared" si="1"/>
        <v>3.0322081943228554</v>
      </c>
      <c r="K22" s="54">
        <f>+'Grad Distribution'!I22</f>
        <v>381.78102704458996</v>
      </c>
      <c r="L22" s="55">
        <f>+'Grad Summer'!E22</f>
        <v>4.430576381561939</v>
      </c>
      <c r="M22" s="55"/>
      <c r="N22" s="55"/>
      <c r="O22" s="56">
        <f t="shared" si="2"/>
        <v>386.2116034261519</v>
      </c>
      <c r="Q22" s="62"/>
      <c r="R22" s="62"/>
      <c r="S22" s="55">
        <f>+Extramural!O22</f>
        <v>0.278</v>
      </c>
      <c r="T22" s="62"/>
      <c r="U22" s="55"/>
      <c r="V22" s="62"/>
      <c r="W22" s="62">
        <f t="shared" si="0"/>
        <v>389.52181162047475</v>
      </c>
      <c r="Y22" s="62">
        <v>288.51091060562754</v>
      </c>
      <c r="AA22" s="62">
        <f t="shared" si="3"/>
        <v>101.0109010148472</v>
      </c>
      <c r="AB22" s="1">
        <f t="shared" si="4"/>
        <v>301.20539067227514</v>
      </c>
      <c r="AC22" s="1">
        <f t="shared" si="5"/>
        <v>88.3164209481996</v>
      </c>
    </row>
    <row r="23" spans="1:29" ht="12.75">
      <c r="A23" s="68" t="s">
        <v>60</v>
      </c>
      <c r="B23" s="5" t="s">
        <v>61</v>
      </c>
      <c r="C23" s="54">
        <f>+'UG Distribution'!E23</f>
        <v>0</v>
      </c>
      <c r="D23" s="55">
        <f>+'UG Distribution'!H23</f>
        <v>0</v>
      </c>
      <c r="E23" s="55">
        <f>+'UG Distribution'!S23</f>
        <v>84.79733245705769</v>
      </c>
      <c r="F23" s="55">
        <f>-'UG Distribution'!O23</f>
        <v>0</v>
      </c>
      <c r="G23" s="55"/>
      <c r="H23" s="55">
        <f>+'UG Summer'!E23</f>
        <v>0.5812214673424638</v>
      </c>
      <c r="I23" s="56">
        <f t="shared" si="1"/>
        <v>85.37855392440015</v>
      </c>
      <c r="K23" s="54">
        <f>+'Grad Distribution'!I23</f>
        <v>817.5977023269737</v>
      </c>
      <c r="L23" s="55">
        <f>+'Grad Summer'!E23</f>
        <v>234.29098115527856</v>
      </c>
      <c r="M23" s="55"/>
      <c r="N23" s="55"/>
      <c r="O23" s="56">
        <f t="shared" si="2"/>
        <v>1051.8886834822522</v>
      </c>
      <c r="Q23" s="62"/>
      <c r="R23" s="62"/>
      <c r="S23" s="55">
        <f>+Extramural!O23</f>
        <v>93.4615</v>
      </c>
      <c r="T23" s="62"/>
      <c r="U23" s="55"/>
      <c r="V23" s="62"/>
      <c r="W23" s="62">
        <f t="shared" si="0"/>
        <v>1230.7287374066523</v>
      </c>
      <c r="Y23" s="62">
        <v>1280.8760786198511</v>
      </c>
      <c r="AA23" s="62">
        <f t="shared" si="3"/>
        <v>-50.14734121319884</v>
      </c>
      <c r="AB23" s="1">
        <f t="shared" si="4"/>
        <v>1337.2346260791246</v>
      </c>
      <c r="AC23" s="1">
        <f t="shared" si="5"/>
        <v>-106.50588867247234</v>
      </c>
    </row>
    <row r="24" spans="1:29" ht="12.75">
      <c r="A24" s="69" t="s">
        <v>62</v>
      </c>
      <c r="B24" s="5" t="s">
        <v>63</v>
      </c>
      <c r="C24" s="54"/>
      <c r="D24" s="55">
        <f>+'UG Distribution'!H24</f>
        <v>0</v>
      </c>
      <c r="E24" s="55"/>
      <c r="F24" s="55"/>
      <c r="G24" s="55"/>
      <c r="H24" s="55">
        <f>+'UG Summer'!E24</f>
        <v>212.75</v>
      </c>
      <c r="I24" s="56">
        <f t="shared" si="1"/>
        <v>212.75</v>
      </c>
      <c r="K24" s="54">
        <f>+'Grad Distribution'!I24</f>
        <v>0</v>
      </c>
      <c r="L24" s="55">
        <f>+'Grad Summer'!E24</f>
        <v>47.85</v>
      </c>
      <c r="M24" s="55">
        <f>+'Grad Distribution'!K24</f>
        <v>0</v>
      </c>
      <c r="N24" s="55"/>
      <c r="O24" s="56">
        <f t="shared" si="2"/>
        <v>47.85</v>
      </c>
      <c r="Q24" s="62">
        <f>+'Prof. Tuition'!F24</f>
        <v>8.35</v>
      </c>
      <c r="R24" s="62"/>
      <c r="S24" s="55">
        <f>+Extramural!O24</f>
        <v>771.64</v>
      </c>
      <c r="T24" s="62"/>
      <c r="U24" s="55"/>
      <c r="V24" s="62"/>
      <c r="W24" s="62">
        <f t="shared" si="0"/>
        <v>1040.59</v>
      </c>
      <c r="Y24" s="62">
        <v>931.55</v>
      </c>
      <c r="AA24" s="62">
        <f t="shared" si="3"/>
        <v>109.03999999999996</v>
      </c>
      <c r="AB24" s="1">
        <f t="shared" si="4"/>
        <v>972.5382</v>
      </c>
      <c r="AC24" s="1">
        <f t="shared" si="5"/>
        <v>68.05179999999996</v>
      </c>
    </row>
    <row r="25" spans="1:29" ht="12.75">
      <c r="A25" s="68" t="s">
        <v>64</v>
      </c>
      <c r="B25" s="5" t="s">
        <v>65</v>
      </c>
      <c r="C25" s="54">
        <f>+'UG Distribution'!E25</f>
        <v>0</v>
      </c>
      <c r="D25" s="55">
        <f>+'UG Distribution'!H25</f>
        <v>0</v>
      </c>
      <c r="E25" s="55">
        <f>+'UG Distribution'!S25</f>
        <v>47.419784870606726</v>
      </c>
      <c r="F25" s="55">
        <f>-'UG Distribution'!O25</f>
        <v>0</v>
      </c>
      <c r="G25" s="55"/>
      <c r="H25" s="55">
        <f>+'UG Summer'!E25</f>
        <v>0.7991795175958877</v>
      </c>
      <c r="I25" s="56">
        <f t="shared" si="1"/>
        <v>48.218964388202615</v>
      </c>
      <c r="K25" s="54">
        <f>+'Grad Distribution'!I25</f>
        <v>640.4081986579926</v>
      </c>
      <c r="L25" s="55">
        <f>+'Grad Summer'!E25</f>
        <v>112.61009803168037</v>
      </c>
      <c r="M25" s="55">
        <f>+'Grad Distribution'!K25</f>
        <v>0</v>
      </c>
      <c r="N25" s="55"/>
      <c r="O25" s="56">
        <f t="shared" si="2"/>
        <v>753.018296689673</v>
      </c>
      <c r="Q25" s="63"/>
      <c r="R25" s="62"/>
      <c r="S25" s="55">
        <f>+Extramural!O25</f>
        <v>984.66113</v>
      </c>
      <c r="T25" s="63"/>
      <c r="U25" s="55"/>
      <c r="V25" s="62"/>
      <c r="W25" s="62">
        <f>+Q25+O25+I25+S25</f>
        <v>1785.8983910778757</v>
      </c>
      <c r="Y25" s="63">
        <v>1518.098823455327</v>
      </c>
      <c r="AA25" s="62">
        <f t="shared" si="3"/>
        <v>267.7995676225487</v>
      </c>
      <c r="AB25" s="1">
        <f t="shared" si="4"/>
        <v>1584.8951716873614</v>
      </c>
      <c r="AC25" s="1">
        <f t="shared" si="5"/>
        <v>201.00321939051423</v>
      </c>
    </row>
    <row r="26" spans="1:29" ht="12.75">
      <c r="A26" s="70" t="s">
        <v>66</v>
      </c>
      <c r="B26" s="8"/>
      <c r="C26" s="57">
        <f>SUM(C10:C25)</f>
        <v>55597.842500000006</v>
      </c>
      <c r="D26" s="58">
        <f>SUM(D10:D25)</f>
        <v>4655.5655</v>
      </c>
      <c r="E26" s="58">
        <f>SUM(E10:E25)</f>
        <v>55597.84249999999</v>
      </c>
      <c r="F26" s="58">
        <f>SUM(F10:F25)</f>
        <v>-534.8985</v>
      </c>
      <c r="G26" s="58"/>
      <c r="H26" s="58">
        <f>SUM(H10:H25)</f>
        <v>4255</v>
      </c>
      <c r="I26" s="59">
        <f>SUM(I10:I25)</f>
        <v>119571.35199999998</v>
      </c>
      <c r="J26" s="58"/>
      <c r="K26" s="80">
        <f>SUM(K10:K25)</f>
        <v>7343.899999999999</v>
      </c>
      <c r="L26" s="58">
        <f>SUM(L10:L25)</f>
        <v>955.7549110168604</v>
      </c>
      <c r="M26" s="58">
        <f>SUM(M10:M25)</f>
        <v>12891.480000000001</v>
      </c>
      <c r="N26" s="58">
        <f>SUM(N10:N25)</f>
        <v>0</v>
      </c>
      <c r="O26" s="59">
        <f>SUM(O10:O25)</f>
        <v>21191.13491101686</v>
      </c>
      <c r="P26" s="60"/>
      <c r="Q26" s="57">
        <f>SUM(Q10:Q25)</f>
        <v>12309.53</v>
      </c>
      <c r="R26" s="65"/>
      <c r="S26" s="59">
        <f>SUM(S10:S25)</f>
        <v>2099.96913</v>
      </c>
      <c r="T26" s="59"/>
      <c r="U26" s="59">
        <f>SUM(U10:U25)</f>
        <v>0</v>
      </c>
      <c r="V26" s="103"/>
      <c r="W26" s="65">
        <f>SUM(W10:W25)</f>
        <v>155171.98604101693</v>
      </c>
      <c r="Y26" s="63">
        <f>SUM(Y10:Y25)</f>
        <v>147878.18443599998</v>
      </c>
      <c r="AA26" s="63">
        <f t="shared" si="3"/>
        <v>7293.8016050169535</v>
      </c>
      <c r="AB26" s="1">
        <f t="shared" si="4"/>
        <v>154384.824551184</v>
      </c>
      <c r="AC26" s="1">
        <f t="shared" si="5"/>
        <v>787.1614898329426</v>
      </c>
    </row>
    <row r="27" ht="12.75">
      <c r="Y27" s="9"/>
    </row>
    <row r="33" ht="12.75">
      <c r="I33" s="131"/>
    </row>
  </sheetData>
  <sheetProtection/>
  <printOptions horizontalCentered="1"/>
  <pageMargins left="0.55" right="0.55" top="1" bottom="1.01" header="0.5" footer="0.5"/>
  <pageSetup fitToHeight="1" fitToWidth="1" horizontalDpi="600" verticalDpi="600" orientation="landscape" paperSize="5" scale="89" r:id="rId3"/>
  <headerFooter alignWithMargins="0">
    <oddHeader>&amp;C&amp;"Arial,Bold"FY03 Distribution of Tuition Income</oddHeader>
    <oddFooter>&amp;L&amp;F
&amp;A</oddFooter>
  </headerFooter>
  <legacyDrawing r:id="rId2"/>
</worksheet>
</file>

<file path=xl/worksheets/sheet12.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H1"/>
    </sheetView>
  </sheetViews>
  <sheetFormatPr defaultColWidth="9.140625" defaultRowHeight="12.75"/>
  <cols>
    <col min="1" max="1" width="3.7109375" style="148" customWidth="1"/>
    <col min="2" max="2" width="20.8515625" style="148" bestFit="1" customWidth="1"/>
    <col min="3" max="3" width="1.8515625" style="148" customWidth="1"/>
    <col min="4" max="4" width="11.28125" style="148" bestFit="1" customWidth="1"/>
    <col min="5" max="5" width="2.00390625" style="148" customWidth="1"/>
    <col min="6" max="6" width="11.28125" style="148" bestFit="1" customWidth="1"/>
    <col min="7" max="7" width="1.7109375" style="148" customWidth="1"/>
    <col min="8" max="8" width="9.28125" style="148" bestFit="1" customWidth="1"/>
    <col min="9" max="9" width="9.140625" style="148" customWidth="1"/>
    <col min="10" max="10" width="10.28125" style="148" bestFit="1" customWidth="1"/>
    <col min="11" max="16384" width="9.140625" style="148" customWidth="1"/>
  </cols>
  <sheetData>
    <row r="1" spans="1:8" ht="12.75">
      <c r="A1" s="192" t="s">
        <v>143</v>
      </c>
      <c r="B1" s="192"/>
      <c r="C1" s="192"/>
      <c r="D1" s="192"/>
      <c r="E1" s="192"/>
      <c r="F1" s="192"/>
      <c r="G1" s="192"/>
      <c r="H1" s="192"/>
    </row>
    <row r="2" spans="1:8" ht="12.75">
      <c r="A2" s="192" t="s">
        <v>160</v>
      </c>
      <c r="B2" s="192"/>
      <c r="C2" s="192"/>
      <c r="D2" s="192"/>
      <c r="E2" s="192"/>
      <c r="F2" s="192"/>
      <c r="G2" s="192"/>
      <c r="H2" s="192"/>
    </row>
    <row r="6" spans="1:2" ht="12.75">
      <c r="A6" s="154" t="s">
        <v>9</v>
      </c>
      <c r="B6" s="154"/>
    </row>
    <row r="7" spans="1:8" ht="12.75">
      <c r="A7" s="154"/>
      <c r="B7" s="155"/>
      <c r="D7" s="161" t="s">
        <v>148</v>
      </c>
      <c r="E7" s="162"/>
      <c r="F7" s="161" t="s">
        <v>142</v>
      </c>
      <c r="G7" s="162"/>
      <c r="H7" s="161" t="s">
        <v>140</v>
      </c>
    </row>
    <row r="8" spans="1:8" ht="12.75">
      <c r="A8" s="154"/>
      <c r="B8" s="155"/>
      <c r="D8" s="163" t="s">
        <v>27</v>
      </c>
      <c r="E8" s="164"/>
      <c r="F8" s="163" t="s">
        <v>27</v>
      </c>
      <c r="G8" s="164"/>
      <c r="H8" s="163" t="s">
        <v>147</v>
      </c>
    </row>
    <row r="9" spans="1:8" ht="12.75">
      <c r="A9" s="179" t="s">
        <v>25</v>
      </c>
      <c r="B9" s="180"/>
      <c r="D9" s="165" t="s">
        <v>26</v>
      </c>
      <c r="E9" s="166"/>
      <c r="F9" s="165" t="s">
        <v>26</v>
      </c>
      <c r="G9" s="166"/>
      <c r="H9" s="165"/>
    </row>
    <row r="10" spans="1:8" ht="12.75">
      <c r="A10" s="181" t="s">
        <v>34</v>
      </c>
      <c r="B10" s="156" t="s">
        <v>35</v>
      </c>
      <c r="D10" s="62">
        <f>+'Total Tuition'!W10</f>
        <v>7546.52273489002</v>
      </c>
      <c r="E10" s="158"/>
      <c r="F10" s="62">
        <f>+'Total Tuition'!Y10</f>
        <v>7278.650484771202</v>
      </c>
      <c r="G10" s="158"/>
      <c r="H10" s="160">
        <f aca="true" t="shared" si="0" ref="H10:H25">D10-F10</f>
        <v>267.87225011881765</v>
      </c>
    </row>
    <row r="11" spans="1:8" ht="12.75">
      <c r="A11" s="182" t="s">
        <v>36</v>
      </c>
      <c r="B11" s="157" t="s">
        <v>37</v>
      </c>
      <c r="D11" s="62">
        <f>+'Total Tuition'!W11</f>
        <v>28625.628315513924</v>
      </c>
      <c r="E11" s="158"/>
      <c r="F11" s="62">
        <f>+'Total Tuition'!Y11</f>
        <v>26133.686266337718</v>
      </c>
      <c r="G11" s="158"/>
      <c r="H11" s="160">
        <f t="shared" si="0"/>
        <v>2491.9420491762066</v>
      </c>
    </row>
    <row r="12" spans="1:8" ht="12.75">
      <c r="A12" s="182" t="s">
        <v>38</v>
      </c>
      <c r="B12" s="157" t="s">
        <v>39</v>
      </c>
      <c r="D12" s="62">
        <f>+'Total Tuition'!W12</f>
        <v>3961.8392342804755</v>
      </c>
      <c r="E12" s="158"/>
      <c r="F12" s="62">
        <f>+'Total Tuition'!Y12</f>
        <v>3613.837954088811</v>
      </c>
      <c r="G12" s="158"/>
      <c r="H12" s="160">
        <f t="shared" si="0"/>
        <v>348.0012801916646</v>
      </c>
    </row>
    <row r="13" spans="1:8" ht="12.75">
      <c r="A13" s="182" t="s">
        <v>40</v>
      </c>
      <c r="B13" s="157" t="s">
        <v>41</v>
      </c>
      <c r="D13" s="62">
        <f>+'Total Tuition'!W13</f>
        <v>23619.33610149914</v>
      </c>
      <c r="E13" s="158"/>
      <c r="F13" s="62">
        <f>+'Total Tuition'!Y13</f>
        <v>22892.01582368348</v>
      </c>
      <c r="G13" s="158"/>
      <c r="H13" s="160">
        <f t="shared" si="0"/>
        <v>727.3202778156592</v>
      </c>
    </row>
    <row r="14" spans="1:8" ht="12.75">
      <c r="A14" s="182" t="s">
        <v>42</v>
      </c>
      <c r="B14" s="157" t="s">
        <v>43</v>
      </c>
      <c r="D14" s="62">
        <f>+'Total Tuition'!W14</f>
        <v>9871.884251370124</v>
      </c>
      <c r="E14" s="158"/>
      <c r="F14" s="62">
        <f>+'Total Tuition'!Y14</f>
        <v>9963.14434405462</v>
      </c>
      <c r="G14" s="158"/>
      <c r="H14" s="160">
        <f t="shared" si="0"/>
        <v>-91.26009268449707</v>
      </c>
    </row>
    <row r="15" spans="1:8" ht="12.75">
      <c r="A15" s="182" t="s">
        <v>44</v>
      </c>
      <c r="B15" s="157" t="s">
        <v>45</v>
      </c>
      <c r="D15" s="62">
        <f>+'Total Tuition'!W15</f>
        <v>1991.9802791118118</v>
      </c>
      <c r="E15" s="158"/>
      <c r="F15" s="62">
        <f>+'Total Tuition'!Y15</f>
        <v>1974.818641044742</v>
      </c>
      <c r="G15" s="158"/>
      <c r="H15" s="160">
        <f t="shared" si="0"/>
        <v>17.161638067069816</v>
      </c>
    </row>
    <row r="16" spans="1:8" ht="12.75">
      <c r="A16" s="182" t="s">
        <v>46</v>
      </c>
      <c r="B16" s="157" t="s">
        <v>47</v>
      </c>
      <c r="D16" s="62">
        <f>+'Total Tuition'!W16</f>
        <v>7884.849536770048</v>
      </c>
      <c r="E16" s="158"/>
      <c r="F16" s="62">
        <f>+'Total Tuition'!Y16</f>
        <v>6601.613369048381</v>
      </c>
      <c r="G16" s="158"/>
      <c r="H16" s="160">
        <f t="shared" si="0"/>
        <v>1283.2361677216668</v>
      </c>
    </row>
    <row r="17" spans="1:8" ht="12.75">
      <c r="A17" s="182" t="s">
        <v>48</v>
      </c>
      <c r="B17" s="157" t="s">
        <v>49</v>
      </c>
      <c r="D17" s="62">
        <f>+'Total Tuition'!W17</f>
        <v>56779.874056916626</v>
      </c>
      <c r="E17" s="158"/>
      <c r="F17" s="62">
        <f>+'Total Tuition'!Y17</f>
        <v>56154.56056089078</v>
      </c>
      <c r="G17" s="158"/>
      <c r="H17" s="160">
        <f t="shared" si="0"/>
        <v>625.3134960258467</v>
      </c>
    </row>
    <row r="18" spans="1:8" ht="12.75">
      <c r="A18" s="182" t="s">
        <v>50</v>
      </c>
      <c r="B18" s="157" t="s">
        <v>51</v>
      </c>
      <c r="D18" s="62">
        <f>+'Total Tuition'!W18</f>
        <v>5082.922504865899</v>
      </c>
      <c r="E18" s="158"/>
      <c r="F18" s="62">
        <f>+'Total Tuition'!Y18</f>
        <v>4578.828988942205</v>
      </c>
      <c r="G18" s="158"/>
      <c r="H18" s="160">
        <f t="shared" si="0"/>
        <v>504.0935159236942</v>
      </c>
    </row>
    <row r="19" spans="1:8" ht="12.75">
      <c r="A19" s="182" t="s">
        <v>52</v>
      </c>
      <c r="B19" s="157" t="s">
        <v>53</v>
      </c>
      <c r="D19" s="62">
        <f>+'Total Tuition'!W19</f>
        <v>4543.224929691783</v>
      </c>
      <c r="E19" s="158"/>
      <c r="F19" s="62">
        <f>+'Total Tuition'!Y19</f>
        <v>3964.2942074423245</v>
      </c>
      <c r="G19" s="158"/>
      <c r="H19" s="160">
        <f t="shared" si="0"/>
        <v>578.9307222494581</v>
      </c>
    </row>
    <row r="20" spans="1:8" ht="12.75">
      <c r="A20" s="183" t="s">
        <v>54</v>
      </c>
      <c r="B20" s="157" t="s">
        <v>55</v>
      </c>
      <c r="D20" s="62">
        <f>+'Total Tuition'!W20</f>
        <v>168.47129599758273</v>
      </c>
      <c r="E20" s="158"/>
      <c r="F20" s="62">
        <f>+'Total Tuition'!Y20</f>
        <v>159.23105363703158</v>
      </c>
      <c r="G20" s="158"/>
      <c r="H20" s="160">
        <f t="shared" si="0"/>
        <v>9.24024236055115</v>
      </c>
    </row>
    <row r="21" spans="1:8" ht="12.75">
      <c r="A21" s="182" t="s">
        <v>56</v>
      </c>
      <c r="B21" s="157" t="s">
        <v>57</v>
      </c>
      <c r="D21" s="62">
        <f>+'Total Tuition'!W21</f>
        <v>648.7138600044317</v>
      </c>
      <c r="E21" s="158"/>
      <c r="F21" s="62">
        <f>+'Total Tuition'!Y21</f>
        <v>544.4669293779054</v>
      </c>
      <c r="G21" s="158"/>
      <c r="H21" s="160">
        <f t="shared" si="0"/>
        <v>104.24693062652625</v>
      </c>
    </row>
    <row r="22" spans="1:8" ht="12.75">
      <c r="A22" s="182" t="s">
        <v>58</v>
      </c>
      <c r="B22" s="157" t="s">
        <v>59</v>
      </c>
      <c r="D22" s="62">
        <f>+'Total Tuition'!W22</f>
        <v>389.52181162047475</v>
      </c>
      <c r="E22" s="158"/>
      <c r="F22" s="62">
        <f>+'Total Tuition'!Y22</f>
        <v>288.51091060562754</v>
      </c>
      <c r="G22" s="158"/>
      <c r="H22" s="160">
        <f t="shared" si="0"/>
        <v>101.0109010148472</v>
      </c>
    </row>
    <row r="23" spans="1:8" ht="12.75">
      <c r="A23" s="182" t="s">
        <v>60</v>
      </c>
      <c r="B23" s="157" t="s">
        <v>61</v>
      </c>
      <c r="D23" s="62">
        <f>+'Total Tuition'!W23</f>
        <v>1230.7287374066523</v>
      </c>
      <c r="E23" s="158"/>
      <c r="F23" s="62">
        <f>+'Total Tuition'!Y23</f>
        <v>1280.8760786198511</v>
      </c>
      <c r="G23" s="158"/>
      <c r="H23" s="160">
        <f t="shared" si="0"/>
        <v>-50.14734121319884</v>
      </c>
    </row>
    <row r="24" spans="1:8" ht="12.75">
      <c r="A24" s="183" t="s">
        <v>62</v>
      </c>
      <c r="B24" s="157" t="s">
        <v>63</v>
      </c>
      <c r="D24" s="62">
        <f>+'Total Tuition'!W24</f>
        <v>1040.59</v>
      </c>
      <c r="E24" s="158"/>
      <c r="F24" s="62">
        <f>+'Total Tuition'!Y24</f>
        <v>931.55</v>
      </c>
      <c r="G24" s="158"/>
      <c r="H24" s="160">
        <f t="shared" si="0"/>
        <v>109.03999999999996</v>
      </c>
    </row>
    <row r="25" spans="1:8" ht="12.75">
      <c r="A25" s="184" t="s">
        <v>64</v>
      </c>
      <c r="B25" s="157" t="s">
        <v>65</v>
      </c>
      <c r="D25" s="62">
        <f>+'Total Tuition'!W25</f>
        <v>1785.8983910778757</v>
      </c>
      <c r="E25" s="158"/>
      <c r="F25" s="62">
        <f>+'Total Tuition'!Y25</f>
        <v>1518.098823455327</v>
      </c>
      <c r="G25" s="158"/>
      <c r="H25" s="160">
        <f t="shared" si="0"/>
        <v>267.7995676225487</v>
      </c>
    </row>
    <row r="26" spans="1:10" ht="12.75">
      <c r="A26" s="179" t="s">
        <v>66</v>
      </c>
      <c r="B26" s="180"/>
      <c r="D26" s="103">
        <f>SUM(D10:D25)</f>
        <v>155171.98604101693</v>
      </c>
      <c r="E26" s="159"/>
      <c r="F26" s="103">
        <f>SUM(F10:F25)</f>
        <v>147878.18443599998</v>
      </c>
      <c r="G26" s="159"/>
      <c r="H26" s="103">
        <f>SUM(H10:H25)</f>
        <v>7293.801605016861</v>
      </c>
      <c r="J26" s="158"/>
    </row>
  </sheetData>
  <sheetProtection/>
  <mergeCells count="2">
    <mergeCell ref="A1:H1"/>
    <mergeCell ref="A2:H2"/>
  </mergeCells>
  <printOptions horizontalCentered="1"/>
  <pageMargins left="0.75" right="0.75" top="1" bottom="1" header="0.5" footer="0.5"/>
  <pageSetup horizontalDpi="600" verticalDpi="600" orientation="portrait" r:id="rId1"/>
  <headerFooter alignWithMargins="0">
    <oddFooter>&amp;L&amp;F
&amp;A</oddFooter>
  </headerFooter>
</worksheet>
</file>

<file path=xl/worksheets/sheet2.xml><?xml version="1.0" encoding="utf-8"?>
<worksheet xmlns="http://schemas.openxmlformats.org/spreadsheetml/2006/main" xmlns:r="http://schemas.openxmlformats.org/officeDocument/2006/relationships">
  <dimension ref="A1:I36"/>
  <sheetViews>
    <sheetView zoomScalePageLayoutView="0" workbookViewId="0" topLeftCell="A1">
      <selection activeCell="A1" sqref="A1"/>
    </sheetView>
  </sheetViews>
  <sheetFormatPr defaultColWidth="8.8515625" defaultRowHeight="12.75"/>
  <cols>
    <col min="1" max="1" width="33.8515625" style="1" customWidth="1"/>
    <col min="2" max="2" width="2.00390625" style="1" customWidth="1"/>
    <col min="3" max="3" width="9.8515625" style="1" bestFit="1" customWidth="1"/>
    <col min="4" max="4" width="10.421875" style="1" bestFit="1" customWidth="1"/>
    <col min="5" max="8" width="8.8515625" style="1" customWidth="1"/>
    <col min="9" max="9" width="9.7109375" style="1" bestFit="1" customWidth="1"/>
    <col min="10" max="16384" width="8.8515625" style="1" customWidth="1"/>
  </cols>
  <sheetData>
    <row r="1" ht="12.75">
      <c r="A1" s="10" t="s">
        <v>149</v>
      </c>
    </row>
    <row r="2" ht="12.75">
      <c r="A2" s="10"/>
    </row>
    <row r="3" ht="12.75"/>
    <row r="4" spans="1:9" ht="12.75">
      <c r="A4" s="1" t="s">
        <v>151</v>
      </c>
      <c r="C4" s="11">
        <f>111535+5577</f>
        <v>117112</v>
      </c>
      <c r="I4" s="11"/>
    </row>
    <row r="5" spans="3:9" ht="12.75">
      <c r="C5" s="11"/>
      <c r="I5" s="11"/>
    </row>
    <row r="6" spans="1:3" ht="12.75">
      <c r="A6" s="1" t="s">
        <v>153</v>
      </c>
      <c r="C6" s="1">
        <f>(+C4*0.03)</f>
        <v>3513.3599999999997</v>
      </c>
    </row>
    <row r="7" ht="12.75"/>
    <row r="8" spans="1:3" ht="12.75">
      <c r="A8" s="1" t="s">
        <v>166</v>
      </c>
      <c r="C8" s="1">
        <f>+C6*0.3</f>
        <v>1054.0079999999998</v>
      </c>
    </row>
    <row r="9" ht="12.75"/>
    <row r="10" spans="1:3" ht="12.75">
      <c r="A10" s="1" t="s">
        <v>150</v>
      </c>
      <c r="C10" s="1">
        <v>0</v>
      </c>
    </row>
    <row r="11" ht="12.75"/>
    <row r="12" spans="1:3" ht="12.75">
      <c r="A12" s="1" t="s">
        <v>114</v>
      </c>
      <c r="C12" s="1">
        <f>3409+846</f>
        <v>4255</v>
      </c>
    </row>
    <row r="13" ht="12.75"/>
    <row r="14" spans="1:3" ht="12.75">
      <c r="A14" s="1" t="s">
        <v>144</v>
      </c>
      <c r="C14" s="1">
        <v>0</v>
      </c>
    </row>
    <row r="15" ht="12.75"/>
    <row r="16" spans="1:4" ht="12.75">
      <c r="A16" s="1" t="s">
        <v>0</v>
      </c>
      <c r="C16" s="1">
        <f>+'UG Distribution'!H26</f>
        <v>4655.5655</v>
      </c>
      <c r="D16" s="1" t="s">
        <v>113</v>
      </c>
    </row>
    <row r="17" ht="12.75"/>
    <row r="18" spans="1:3" ht="12.75">
      <c r="A18" s="1" t="s">
        <v>1</v>
      </c>
      <c r="C18" s="1">
        <f>+'UG Distribution'!O26</f>
        <v>534.8985</v>
      </c>
    </row>
    <row r="20" spans="1:5" ht="12.75">
      <c r="A20" s="1" t="s">
        <v>2</v>
      </c>
      <c r="C20" s="11">
        <f>+C4+C6+C10-C12-C16+C18-C14-C8</f>
        <v>111195.685</v>
      </c>
      <c r="E20" s="167"/>
    </row>
    <row r="23" spans="1:9" ht="12.75">
      <c r="A23" s="1" t="s">
        <v>3</v>
      </c>
      <c r="C23" s="11">
        <f>+C20*D23</f>
        <v>55597.8425</v>
      </c>
      <c r="D23" s="17">
        <v>0.5</v>
      </c>
      <c r="I23" s="11"/>
    </row>
    <row r="24" ht="12.75">
      <c r="C24" s="11"/>
    </row>
    <row r="25" ht="12.75">
      <c r="C25" s="11"/>
    </row>
    <row r="26" spans="1:4" ht="12.75">
      <c r="A26" s="1" t="s">
        <v>4</v>
      </c>
      <c r="C26" s="11">
        <f>+C20*D26</f>
        <v>55597.8425</v>
      </c>
      <c r="D26" s="17">
        <v>0.5</v>
      </c>
    </row>
    <row r="30" ht="12.75">
      <c r="A30" s="10" t="s">
        <v>5</v>
      </c>
    </row>
    <row r="32" spans="1:3" ht="12.75">
      <c r="A32" s="1" t="s">
        <v>6</v>
      </c>
      <c r="C32" s="1">
        <f>+C12</f>
        <v>4255</v>
      </c>
    </row>
    <row r="34" spans="1:3" ht="15">
      <c r="A34" s="1" t="s">
        <v>7</v>
      </c>
      <c r="C34" s="100">
        <f>+C32*0.05</f>
        <v>212.75</v>
      </c>
    </row>
    <row r="36" spans="1:3" ht="12.75">
      <c r="A36" s="1" t="s">
        <v>8</v>
      </c>
      <c r="C36" s="11">
        <f>+C32-C34</f>
        <v>4042.25</v>
      </c>
    </row>
  </sheetData>
  <sheetProtection/>
  <printOptions/>
  <pageMargins left="0.75" right="0.75" top="1" bottom="1" header="0.5" footer="0.5"/>
  <pageSetup horizontalDpi="600" verticalDpi="600" orientation="portrait" r:id="rId3"/>
  <headerFooter alignWithMargins="0">
    <oddHeader>&amp;C&amp;A</oddHeader>
    <oddFooter>&amp;L&amp;8&amp;D
&amp;F
&amp;A&amp;CPage &amp;P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34"/>
  <sheetViews>
    <sheetView zoomScalePageLayoutView="0" workbookViewId="0" topLeftCell="A3">
      <selection activeCell="A3" sqref="A3"/>
    </sheetView>
  </sheetViews>
  <sheetFormatPr defaultColWidth="9.140625" defaultRowHeight="12.75"/>
  <cols>
    <col min="1" max="1" width="4.140625" style="0" customWidth="1"/>
    <col min="2" max="2" width="20.7109375" style="0" customWidth="1"/>
    <col min="3" max="3" width="12.421875" style="0" bestFit="1" customWidth="1"/>
    <col min="4" max="4" width="8.421875" style="167" customWidth="1"/>
    <col min="5" max="5" width="11.421875" style="0" customWidth="1"/>
    <col min="6" max="6" width="1.7109375" style="0" customWidth="1"/>
    <col min="7" max="7" width="11.421875" style="0" customWidth="1"/>
    <col min="8" max="8" width="8.28125" style="0" customWidth="1"/>
    <col min="9" max="9" width="1.7109375" style="0" customWidth="1"/>
    <col min="11" max="11" width="1.7109375" style="0" customWidth="1"/>
    <col min="12" max="12" width="10.421875" style="0" customWidth="1"/>
    <col min="13" max="13" width="2.00390625" style="0" customWidth="1"/>
    <col min="16" max="16" width="1.7109375" style="0" customWidth="1"/>
    <col min="17" max="17" width="10.421875" style="0" customWidth="1"/>
    <col min="18" max="18" width="11.140625" style="167" customWidth="1"/>
    <col min="19" max="19" width="10.421875" style="0" customWidth="1"/>
    <col min="20" max="22" width="11.421875" style="0" customWidth="1"/>
    <col min="23" max="23" width="10.421875" style="0" customWidth="1"/>
    <col min="24" max="24" width="12.28125" style="0" customWidth="1"/>
    <col min="25" max="25" width="7.28125" style="0" customWidth="1"/>
    <col min="26" max="26" width="9.7109375" style="0" customWidth="1"/>
    <col min="27" max="27" width="11.421875" style="0" customWidth="1"/>
    <col min="28" max="28" width="11.140625" style="0" customWidth="1"/>
  </cols>
  <sheetData>
    <row r="1" spans="1:16" ht="12.75">
      <c r="A1" s="1"/>
      <c r="B1" s="1"/>
      <c r="C1" s="1"/>
      <c r="E1" s="1"/>
      <c r="F1" s="1"/>
      <c r="G1" s="1"/>
      <c r="H1" s="1"/>
      <c r="I1" s="1"/>
      <c r="J1" s="1"/>
      <c r="K1" s="1"/>
      <c r="L1" s="1"/>
      <c r="M1" s="1"/>
      <c r="N1" s="1"/>
      <c r="O1" s="1"/>
      <c r="P1" s="1"/>
    </row>
    <row r="2" spans="1:16" ht="12.75">
      <c r="A2" s="1"/>
      <c r="B2" s="1"/>
      <c r="C2" s="1"/>
      <c r="E2" s="1"/>
      <c r="F2" s="1"/>
      <c r="G2" s="1"/>
      <c r="H2" s="1"/>
      <c r="I2" s="1"/>
      <c r="J2" s="1"/>
      <c r="K2" s="1"/>
      <c r="L2" s="1"/>
      <c r="M2" s="1"/>
      <c r="N2" s="1"/>
      <c r="O2" s="1"/>
      <c r="P2" s="1"/>
    </row>
    <row r="3" spans="1:16" ht="12.75">
      <c r="A3" s="1"/>
      <c r="B3" s="1"/>
      <c r="C3" s="1"/>
      <c r="E3" s="1"/>
      <c r="F3" s="1"/>
      <c r="G3" s="1"/>
      <c r="H3" s="1"/>
      <c r="I3" s="1"/>
      <c r="J3" s="1"/>
      <c r="K3" s="1"/>
      <c r="L3" s="1"/>
      <c r="M3" s="1"/>
      <c r="N3" s="1"/>
      <c r="O3" s="1"/>
      <c r="P3" s="1"/>
    </row>
    <row r="4" spans="1:16" ht="12.75">
      <c r="A4" s="1"/>
      <c r="B4" s="1"/>
      <c r="C4" s="1"/>
      <c r="E4" s="1"/>
      <c r="F4" s="1"/>
      <c r="G4" s="1"/>
      <c r="H4" s="1"/>
      <c r="I4" s="1"/>
      <c r="J4" s="1"/>
      <c r="K4" s="1"/>
      <c r="L4" s="1"/>
      <c r="M4" s="1"/>
      <c r="N4" s="1"/>
      <c r="O4" s="1"/>
      <c r="P4" s="1"/>
    </row>
    <row r="5" spans="1:17" ht="12.75">
      <c r="A5" s="1"/>
      <c r="B5" s="1"/>
      <c r="C5" s="150" t="s">
        <v>139</v>
      </c>
      <c r="E5" s="1"/>
      <c r="F5" s="1"/>
      <c r="G5" s="150" t="s">
        <v>139</v>
      </c>
      <c r="H5" s="1"/>
      <c r="I5" s="1"/>
      <c r="J5" s="1"/>
      <c r="K5" s="1"/>
      <c r="L5" s="150" t="s">
        <v>139</v>
      </c>
      <c r="M5" s="1"/>
      <c r="N5" s="150" t="s">
        <v>139</v>
      </c>
      <c r="O5" s="1"/>
      <c r="Q5" s="142" t="s">
        <v>139</v>
      </c>
    </row>
    <row r="6" spans="1:19" ht="13.5" thickBot="1">
      <c r="A6" s="2" t="s">
        <v>9</v>
      </c>
      <c r="B6" s="2"/>
      <c r="C6" s="3"/>
      <c r="D6" s="175"/>
      <c r="E6" s="4"/>
      <c r="F6" s="4"/>
      <c r="G6" s="4"/>
      <c r="H6" s="4"/>
      <c r="I6" s="4"/>
      <c r="J6" s="4"/>
      <c r="K6" s="4"/>
      <c r="L6" s="4"/>
      <c r="M6" s="4"/>
      <c r="N6" s="4"/>
      <c r="O6" s="4"/>
      <c r="P6" s="82"/>
      <c r="Q6" s="88" t="s">
        <v>10</v>
      </c>
      <c r="R6" s="168"/>
      <c r="S6" s="26"/>
    </row>
    <row r="7" spans="1:19" ht="13.5" thickTop="1">
      <c r="A7" s="2"/>
      <c r="B7" s="5"/>
      <c r="C7" s="12" t="s">
        <v>11</v>
      </c>
      <c r="D7" s="176"/>
      <c r="E7" s="33" t="s">
        <v>12</v>
      </c>
      <c r="F7" s="12"/>
      <c r="G7" s="12" t="s">
        <v>13</v>
      </c>
      <c r="H7" s="33" t="s">
        <v>14</v>
      </c>
      <c r="I7" s="12"/>
      <c r="J7" s="33" t="s">
        <v>119</v>
      </c>
      <c r="K7" s="12"/>
      <c r="L7" s="12" t="s">
        <v>15</v>
      </c>
      <c r="M7" s="12"/>
      <c r="N7" s="12"/>
      <c r="O7" s="33" t="s">
        <v>16</v>
      </c>
      <c r="P7" s="83"/>
      <c r="Q7" s="20" t="s">
        <v>17</v>
      </c>
      <c r="R7" s="169"/>
      <c r="S7" s="85" t="s">
        <v>12</v>
      </c>
    </row>
    <row r="8" spans="1:19" ht="12.75">
      <c r="A8" s="2"/>
      <c r="B8" s="5"/>
      <c r="C8" s="12" t="s">
        <v>18</v>
      </c>
      <c r="D8" s="177" t="s">
        <v>19</v>
      </c>
      <c r="E8" s="99">
        <f>+'Undergrad Income'!C23</f>
        <v>55597.8425</v>
      </c>
      <c r="F8" s="12"/>
      <c r="G8" s="12" t="s">
        <v>20</v>
      </c>
      <c r="H8" s="33" t="s">
        <v>21</v>
      </c>
      <c r="I8" s="12"/>
      <c r="J8" s="33" t="s">
        <v>120</v>
      </c>
      <c r="K8" s="12"/>
      <c r="L8" s="12" t="s">
        <v>22</v>
      </c>
      <c r="M8" s="12"/>
      <c r="N8" s="12" t="s">
        <v>16</v>
      </c>
      <c r="O8" s="33" t="s">
        <v>23</v>
      </c>
      <c r="P8" s="83"/>
      <c r="Q8" s="21" t="s">
        <v>138</v>
      </c>
      <c r="R8" s="170" t="s">
        <v>19</v>
      </c>
      <c r="S8" s="129">
        <f>+E8</f>
        <v>55597.8425</v>
      </c>
    </row>
    <row r="9" spans="1:19" ht="12.75">
      <c r="A9" s="7" t="s">
        <v>25</v>
      </c>
      <c r="B9" s="8"/>
      <c r="C9" s="13" t="s">
        <v>26</v>
      </c>
      <c r="D9" s="171" t="s">
        <v>27</v>
      </c>
      <c r="E9" s="34" t="s">
        <v>28</v>
      </c>
      <c r="F9" s="13"/>
      <c r="G9" s="13" t="s">
        <v>29</v>
      </c>
      <c r="H9" s="34" t="s">
        <v>30</v>
      </c>
      <c r="I9" s="13"/>
      <c r="J9" s="34" t="s">
        <v>103</v>
      </c>
      <c r="K9" s="13"/>
      <c r="L9" s="13" t="s">
        <v>31</v>
      </c>
      <c r="M9" s="13"/>
      <c r="N9" s="13" t="s">
        <v>23</v>
      </c>
      <c r="O9" s="34" t="s">
        <v>32</v>
      </c>
      <c r="P9" s="84"/>
      <c r="Q9" s="22" t="s">
        <v>24</v>
      </c>
      <c r="R9" s="171" t="s">
        <v>27</v>
      </c>
      <c r="S9" s="86" t="s">
        <v>33</v>
      </c>
    </row>
    <row r="10" spans="1:20" ht="12.75">
      <c r="A10" s="2" t="s">
        <v>34</v>
      </c>
      <c r="B10" s="2" t="s">
        <v>35</v>
      </c>
      <c r="C10" s="145">
        <v>8373847</v>
      </c>
      <c r="D10" s="172">
        <f aca="true" t="shared" si="0" ref="D10:D15">+C10/$C$26</f>
        <v>0.07198380910652226</v>
      </c>
      <c r="E10" s="94">
        <f aca="true" t="shared" si="1" ref="E10:E15">+$E$8*D10</f>
        <v>4002.14448125449</v>
      </c>
      <c r="F10" s="52"/>
      <c r="G10" s="139">
        <v>19152</v>
      </c>
      <c r="H10" s="94">
        <f>+G10/1000</f>
        <v>19.152</v>
      </c>
      <c r="I10" s="52"/>
      <c r="J10" s="96"/>
      <c r="K10" s="55"/>
      <c r="L10" s="133">
        <v>550646.5</v>
      </c>
      <c r="M10" s="128">
        <v>26142.5</v>
      </c>
      <c r="N10" s="147">
        <v>40666.5</v>
      </c>
      <c r="O10" s="94">
        <f>+N10/1000</f>
        <v>40.6665</v>
      </c>
      <c r="P10" s="81"/>
      <c r="Q10" s="1">
        <v>45381.5</v>
      </c>
      <c r="R10" s="172">
        <f aca="true" t="shared" si="2" ref="R10:R26">+Q10/$Q$26</f>
        <v>0.05557242728861317</v>
      </c>
      <c r="S10" s="95">
        <f aca="true" t="shared" si="3" ref="S10:S26">+R10*$S$8</f>
        <v>3089.707059735017</v>
      </c>
      <c r="T10" s="19"/>
    </row>
    <row r="11" spans="1:20" ht="12.75">
      <c r="A11" s="2" t="s">
        <v>36</v>
      </c>
      <c r="B11" s="2" t="s">
        <v>37</v>
      </c>
      <c r="C11" s="146">
        <v>13418902.5</v>
      </c>
      <c r="D11" s="173">
        <f t="shared" si="0"/>
        <v>0.11535244386230536</v>
      </c>
      <c r="E11" s="96">
        <f t="shared" si="1"/>
        <v>6413.3470058465455</v>
      </c>
      <c r="F11" s="55"/>
      <c r="G11" s="139">
        <v>0</v>
      </c>
      <c r="H11" s="96">
        <f aca="true" t="shared" si="4" ref="H11:H25">+G11/1000</f>
        <v>0</v>
      </c>
      <c r="I11" s="55"/>
      <c r="J11" s="96"/>
      <c r="K11" s="55"/>
      <c r="L11" s="133">
        <v>741808.5</v>
      </c>
      <c r="M11" s="128">
        <v>1392.5</v>
      </c>
      <c r="N11" s="139">
        <v>931</v>
      </c>
      <c r="O11" s="96">
        <f aca="true" t="shared" si="5" ref="O11:O25">+N11/1000</f>
        <v>0.931</v>
      </c>
      <c r="P11" s="83"/>
      <c r="Q11" s="1">
        <v>93339</v>
      </c>
      <c r="R11" s="173">
        <f t="shared" si="2"/>
        <v>0.11429932440954717</v>
      </c>
      <c r="S11" s="87">
        <f t="shared" si="3"/>
        <v>6354.795836378409</v>
      </c>
      <c r="T11" s="19"/>
    </row>
    <row r="12" spans="1:20" ht="12.75">
      <c r="A12" s="2" t="s">
        <v>38</v>
      </c>
      <c r="B12" s="2" t="s">
        <v>39</v>
      </c>
      <c r="C12" s="146">
        <v>2477554.5</v>
      </c>
      <c r="D12" s="173">
        <f t="shared" si="0"/>
        <v>0.021297715396400865</v>
      </c>
      <c r="E12" s="96">
        <f t="shared" si="1"/>
        <v>1184.1070262189203</v>
      </c>
      <c r="F12" s="55"/>
      <c r="G12" s="139">
        <v>0</v>
      </c>
      <c r="H12" s="96">
        <f t="shared" si="4"/>
        <v>0</v>
      </c>
      <c r="I12" s="55"/>
      <c r="J12" s="96"/>
      <c r="K12" s="55"/>
      <c r="L12" s="133">
        <v>230335.5</v>
      </c>
      <c r="M12" s="128">
        <v>0</v>
      </c>
      <c r="N12" s="139">
        <v>591</v>
      </c>
      <c r="O12" s="96">
        <f t="shared" si="5"/>
        <v>0.591</v>
      </c>
      <c r="P12" s="83"/>
      <c r="Q12" s="1">
        <v>23135.5</v>
      </c>
      <c r="R12" s="173">
        <f t="shared" si="2"/>
        <v>0.028330837269277348</v>
      </c>
      <c r="S12" s="87">
        <f t="shared" si="3"/>
        <v>1575.133428390412</v>
      </c>
      <c r="T12" s="19"/>
    </row>
    <row r="13" spans="1:20" ht="12.75">
      <c r="A13" s="2" t="s">
        <v>40</v>
      </c>
      <c r="B13" s="2" t="s">
        <v>41</v>
      </c>
      <c r="C13" s="146">
        <v>23072631.5</v>
      </c>
      <c r="D13" s="173">
        <f t="shared" si="0"/>
        <v>0.1983384579968003</v>
      </c>
      <c r="E13" s="96">
        <f t="shared" si="1"/>
        <v>11027.190349398968</v>
      </c>
      <c r="F13" s="55"/>
      <c r="G13" s="139">
        <v>2534059.5</v>
      </c>
      <c r="H13" s="96">
        <f t="shared" si="4"/>
        <v>2534.0595</v>
      </c>
      <c r="I13" s="55"/>
      <c r="J13" s="96"/>
      <c r="K13" s="55"/>
      <c r="L13" s="133">
        <v>1290816.5</v>
      </c>
      <c r="M13" s="128">
        <v>43479.5</v>
      </c>
      <c r="N13" s="139">
        <v>116534</v>
      </c>
      <c r="O13" s="96">
        <f t="shared" si="5"/>
        <v>116.534</v>
      </c>
      <c r="P13" s="83"/>
      <c r="Q13" s="1">
        <v>114333.5</v>
      </c>
      <c r="R13" s="173">
        <f t="shared" si="2"/>
        <v>0.1400083759990889</v>
      </c>
      <c r="S13" s="87">
        <f t="shared" si="3"/>
        <v>7784.163637478126</v>
      </c>
      <c r="T13" s="1"/>
    </row>
    <row r="14" spans="1:20" ht="12.75">
      <c r="A14" s="2" t="s">
        <v>42</v>
      </c>
      <c r="B14" s="2" t="s">
        <v>43</v>
      </c>
      <c r="C14" s="146">
        <v>8552195</v>
      </c>
      <c r="D14" s="173">
        <f t="shared" si="0"/>
        <v>0.073516935802834</v>
      </c>
      <c r="E14" s="96">
        <f t="shared" si="1"/>
        <v>4087.3830178485755</v>
      </c>
      <c r="F14" s="55"/>
      <c r="G14" s="139">
        <v>464405.5</v>
      </c>
      <c r="H14" s="96">
        <f t="shared" si="4"/>
        <v>464.4055</v>
      </c>
      <c r="I14" s="55"/>
      <c r="J14" s="96"/>
      <c r="K14" s="55"/>
      <c r="L14" s="133">
        <v>956225.5</v>
      </c>
      <c r="M14" s="128">
        <v>14851</v>
      </c>
      <c r="N14" s="139">
        <v>6315.5</v>
      </c>
      <c r="O14" s="96">
        <f t="shared" si="5"/>
        <v>6.3155</v>
      </c>
      <c r="P14" s="83"/>
      <c r="Q14" s="1">
        <v>58000</v>
      </c>
      <c r="R14" s="173">
        <f t="shared" si="2"/>
        <v>0.071024553678031</v>
      </c>
      <c r="S14" s="87">
        <f t="shared" si="3"/>
        <v>3948.811949023963</v>
      </c>
      <c r="T14" s="19"/>
    </row>
    <row r="15" spans="1:20" ht="12.75">
      <c r="A15" s="2" t="s">
        <v>44</v>
      </c>
      <c r="B15" s="2" t="s">
        <v>45</v>
      </c>
      <c r="C15" s="146">
        <v>2003612.5</v>
      </c>
      <c r="D15" s="173">
        <f t="shared" si="0"/>
        <v>0.017223584300434653</v>
      </c>
      <c r="E15" s="96">
        <f t="shared" si="1"/>
        <v>957.5941272210385</v>
      </c>
      <c r="F15" s="55"/>
      <c r="G15" s="139">
        <v>0</v>
      </c>
      <c r="H15" s="96">
        <f t="shared" si="4"/>
        <v>0</v>
      </c>
      <c r="I15" s="55"/>
      <c r="J15" s="96"/>
      <c r="K15" s="55"/>
      <c r="L15" s="133">
        <v>85048</v>
      </c>
      <c r="M15" s="128">
        <v>2312.5</v>
      </c>
      <c r="N15" s="139">
        <v>591</v>
      </c>
      <c r="O15" s="96">
        <f t="shared" si="5"/>
        <v>0.591</v>
      </c>
      <c r="P15" s="83"/>
      <c r="Q15" s="1">
        <v>13775.5</v>
      </c>
      <c r="R15" s="173">
        <f t="shared" si="2"/>
        <v>0.01686894377916752</v>
      </c>
      <c r="S15" s="87">
        <f t="shared" si="3"/>
        <v>937.8768793755105</v>
      </c>
      <c r="T15" s="19"/>
    </row>
    <row r="16" spans="1:20" ht="12.75">
      <c r="A16" s="2" t="s">
        <v>46</v>
      </c>
      <c r="B16" s="2" t="s">
        <v>47</v>
      </c>
      <c r="C16" s="146">
        <v>0</v>
      </c>
      <c r="D16" s="173"/>
      <c r="E16" s="96"/>
      <c r="F16" s="55"/>
      <c r="G16" s="139">
        <v>0</v>
      </c>
      <c r="H16" s="96">
        <f t="shared" si="4"/>
        <v>0</v>
      </c>
      <c r="I16" s="55"/>
      <c r="J16" s="96"/>
      <c r="K16" s="55"/>
      <c r="L16" s="133">
        <v>0</v>
      </c>
      <c r="M16" s="128">
        <v>0</v>
      </c>
      <c r="N16" s="139">
        <v>0</v>
      </c>
      <c r="O16" s="96">
        <f t="shared" si="5"/>
        <v>0</v>
      </c>
      <c r="P16" s="83"/>
      <c r="Q16" s="1">
        <v>237</v>
      </c>
      <c r="R16" s="173">
        <f t="shared" si="2"/>
        <v>0.00029022102106367843</v>
      </c>
      <c r="S16" s="87">
        <f t="shared" si="3"/>
        <v>16.135662619287576</v>
      </c>
      <c r="T16" s="19"/>
    </row>
    <row r="17" spans="1:20" ht="12.75">
      <c r="A17" s="2" t="s">
        <v>48</v>
      </c>
      <c r="B17" s="2" t="s">
        <v>49</v>
      </c>
      <c r="C17" s="146">
        <v>52809520.5</v>
      </c>
      <c r="D17" s="173">
        <f>+C17/$C$26</f>
        <v>0.45396464046679785</v>
      </c>
      <c r="E17" s="96">
        <f>+$E$8*D17</f>
        <v>25239.454581242153</v>
      </c>
      <c r="F17" s="55"/>
      <c r="G17" s="139">
        <v>1637948.5</v>
      </c>
      <c r="H17" s="96">
        <f t="shared" si="4"/>
        <v>1637.9485</v>
      </c>
      <c r="I17" s="55"/>
      <c r="J17" s="96"/>
      <c r="K17" s="55"/>
      <c r="L17" s="133">
        <v>3241679</v>
      </c>
      <c r="M17" s="128">
        <v>97296.5</v>
      </c>
      <c r="N17" s="139">
        <v>367452</v>
      </c>
      <c r="O17" s="96">
        <f t="shared" si="5"/>
        <v>367.452</v>
      </c>
      <c r="P17" s="83"/>
      <c r="Q17" s="1">
        <v>425762.5</v>
      </c>
      <c r="R17" s="173">
        <f t="shared" si="2"/>
        <v>0.5213722678507358</v>
      </c>
      <c r="S17" s="87">
        <f t="shared" si="3"/>
        <v>28987.17323183302</v>
      </c>
      <c r="T17" s="19"/>
    </row>
    <row r="18" spans="1:20" ht="12.75">
      <c r="A18" s="2" t="s">
        <v>50</v>
      </c>
      <c r="B18" s="2" t="s">
        <v>51</v>
      </c>
      <c r="C18" s="146">
        <v>4734143.5</v>
      </c>
      <c r="D18" s="173">
        <f>+C18/$C$26</f>
        <v>0.04069595276661768</v>
      </c>
      <c r="E18" s="96">
        <f>+$E$8*D18</f>
        <v>2262.607172305849</v>
      </c>
      <c r="F18" s="55"/>
      <c r="G18" s="128">
        <v>0</v>
      </c>
      <c r="H18" s="96">
        <f t="shared" si="4"/>
        <v>0</v>
      </c>
      <c r="I18" s="55"/>
      <c r="J18" s="96"/>
      <c r="K18" s="55"/>
      <c r="L18" s="133">
        <v>344643.5</v>
      </c>
      <c r="M18" s="128">
        <v>3075</v>
      </c>
      <c r="N18" s="139">
        <v>1817.5</v>
      </c>
      <c r="O18" s="96">
        <f t="shared" si="5"/>
        <v>1.8175</v>
      </c>
      <c r="P18" s="83"/>
      <c r="Q18" s="1">
        <v>35023</v>
      </c>
      <c r="R18" s="173">
        <f t="shared" si="2"/>
        <v>0.04288780937009793</v>
      </c>
      <c r="S18" s="87">
        <f t="shared" si="3"/>
        <v>2384.469670528729</v>
      </c>
      <c r="T18" s="19"/>
    </row>
    <row r="19" spans="1:20" ht="12.75">
      <c r="A19" s="2" t="s">
        <v>52</v>
      </c>
      <c r="B19" s="2" t="s">
        <v>53</v>
      </c>
      <c r="C19" s="146">
        <v>0</v>
      </c>
      <c r="D19" s="173"/>
      <c r="E19" s="96"/>
      <c r="F19" s="55"/>
      <c r="G19" s="55">
        <v>0</v>
      </c>
      <c r="H19" s="96">
        <f t="shared" si="4"/>
        <v>0</v>
      </c>
      <c r="I19" s="55"/>
      <c r="J19" s="96"/>
      <c r="K19" s="55"/>
      <c r="L19" s="133">
        <v>0</v>
      </c>
      <c r="M19" s="128">
        <v>0</v>
      </c>
      <c r="N19" s="55"/>
      <c r="O19" s="96">
        <f t="shared" si="5"/>
        <v>0</v>
      </c>
      <c r="P19" s="83"/>
      <c r="Q19" s="1">
        <v>441</v>
      </c>
      <c r="R19" s="173">
        <f t="shared" si="2"/>
        <v>0.0005400315202070978</v>
      </c>
      <c r="S19" s="87">
        <f t="shared" si="3"/>
        <v>30.02458740550979</v>
      </c>
      <c r="T19" s="19"/>
    </row>
    <row r="20" spans="1:20" ht="12.75">
      <c r="A20" s="18" t="s">
        <v>54</v>
      </c>
      <c r="B20" s="2" t="s">
        <v>55</v>
      </c>
      <c r="C20" s="54">
        <v>0</v>
      </c>
      <c r="D20" s="173"/>
      <c r="E20" s="96"/>
      <c r="F20" s="55"/>
      <c r="G20" s="55">
        <v>0</v>
      </c>
      <c r="H20" s="96"/>
      <c r="I20" s="55"/>
      <c r="J20" s="96"/>
      <c r="K20" s="55"/>
      <c r="M20" s="128">
        <v>0</v>
      </c>
      <c r="N20" s="55"/>
      <c r="O20" s="96"/>
      <c r="P20" s="83"/>
      <c r="Q20" s="1">
        <v>2474.5</v>
      </c>
      <c r="R20" s="173">
        <f t="shared" si="2"/>
        <v>0.003030176863384271</v>
      </c>
      <c r="S20" s="87">
        <f t="shared" si="3"/>
        <v>168.47129599758273</v>
      </c>
      <c r="T20" s="19"/>
    </row>
    <row r="21" spans="1:20" ht="12.75">
      <c r="A21" s="2" t="s">
        <v>56</v>
      </c>
      <c r="B21" s="2" t="s">
        <v>57</v>
      </c>
      <c r="C21" s="54">
        <v>887183</v>
      </c>
      <c r="D21" s="173">
        <f>+C21/$C$26</f>
        <v>0.0076264603012870585</v>
      </c>
      <c r="E21" s="96">
        <f>+$E$8*D21</f>
        <v>424.01473866346043</v>
      </c>
      <c r="F21" s="55"/>
      <c r="G21" s="55">
        <v>0</v>
      </c>
      <c r="H21" s="96">
        <f t="shared" si="4"/>
        <v>0</v>
      </c>
      <c r="I21" s="55"/>
      <c r="J21" s="96"/>
      <c r="K21" s="55"/>
      <c r="L21" s="1">
        <v>49336.5</v>
      </c>
      <c r="M21" s="128">
        <v>0</v>
      </c>
      <c r="N21" s="55"/>
      <c r="O21" s="96">
        <f t="shared" si="5"/>
        <v>0</v>
      </c>
      <c r="P21" s="83"/>
      <c r="Q21" s="1">
        <v>2738</v>
      </c>
      <c r="R21" s="173">
        <f t="shared" si="2"/>
        <v>0.003352848758111188</v>
      </c>
      <c r="S21" s="87">
        <f t="shared" si="3"/>
        <v>186.41115717978641</v>
      </c>
      <c r="T21" s="19"/>
    </row>
    <row r="22" spans="1:20" ht="12.75">
      <c r="A22" s="2" t="s">
        <v>58</v>
      </c>
      <c r="B22" s="2" t="s">
        <v>59</v>
      </c>
      <c r="C22" s="146">
        <v>0</v>
      </c>
      <c r="D22" s="173"/>
      <c r="E22" s="96"/>
      <c r="F22" s="55"/>
      <c r="G22" s="55">
        <v>0</v>
      </c>
      <c r="H22" s="96">
        <f t="shared" si="4"/>
        <v>0</v>
      </c>
      <c r="I22" s="55"/>
      <c r="J22" s="96"/>
      <c r="K22" s="55"/>
      <c r="L22" s="128"/>
      <c r="M22" s="128">
        <v>0</v>
      </c>
      <c r="N22" s="55"/>
      <c r="O22" s="96">
        <f t="shared" si="5"/>
        <v>0</v>
      </c>
      <c r="P22" s="83"/>
      <c r="Q22" s="1">
        <v>36</v>
      </c>
      <c r="R22" s="173">
        <f t="shared" si="2"/>
        <v>4.408420573119166E-05</v>
      </c>
      <c r="S22" s="87">
        <f t="shared" si="3"/>
        <v>2.4509867269803913</v>
      </c>
      <c r="T22" s="19"/>
    </row>
    <row r="23" spans="1:20" ht="12.75">
      <c r="A23" s="2" t="s">
        <v>60</v>
      </c>
      <c r="B23" s="2" t="s">
        <v>61</v>
      </c>
      <c r="C23" s="146">
        <v>0</v>
      </c>
      <c r="D23" s="173"/>
      <c r="E23" s="96"/>
      <c r="F23" s="55"/>
      <c r="G23" s="55">
        <v>0</v>
      </c>
      <c r="H23" s="96">
        <f t="shared" si="4"/>
        <v>0</v>
      </c>
      <c r="I23" s="55"/>
      <c r="J23" s="96"/>
      <c r="K23" s="55"/>
      <c r="L23" s="128"/>
      <c r="M23" s="55"/>
      <c r="N23" s="55"/>
      <c r="O23" s="96">
        <f t="shared" si="5"/>
        <v>0</v>
      </c>
      <c r="P23" s="83"/>
      <c r="Q23" s="1">
        <v>1245.5</v>
      </c>
      <c r="R23" s="173">
        <f t="shared" si="2"/>
        <v>0.0015251910621722003</v>
      </c>
      <c r="S23" s="87">
        <f t="shared" si="3"/>
        <v>84.79733245705769</v>
      </c>
      <c r="T23" s="19"/>
    </row>
    <row r="24" spans="1:20" ht="12.75">
      <c r="A24" s="104" t="s">
        <v>62</v>
      </c>
      <c r="B24" s="2" t="s">
        <v>63</v>
      </c>
      <c r="C24" s="146">
        <v>0</v>
      </c>
      <c r="D24" s="173"/>
      <c r="E24" s="96"/>
      <c r="F24" s="55"/>
      <c r="G24" s="55"/>
      <c r="H24" s="96"/>
      <c r="I24" s="55"/>
      <c r="J24" s="96"/>
      <c r="K24" s="55"/>
      <c r="L24" s="55"/>
      <c r="M24" s="55"/>
      <c r="N24" s="55"/>
      <c r="O24" s="96"/>
      <c r="P24" s="83"/>
      <c r="R24" s="173"/>
      <c r="S24" s="87"/>
      <c r="T24" s="19"/>
    </row>
    <row r="25" spans="1:20" ht="12.75">
      <c r="A25" s="2" t="s">
        <v>64</v>
      </c>
      <c r="B25" s="2" t="s">
        <v>65</v>
      </c>
      <c r="C25" s="132"/>
      <c r="D25" s="173"/>
      <c r="E25" s="96"/>
      <c r="F25" s="55"/>
      <c r="G25" s="55"/>
      <c r="H25" s="96">
        <f t="shared" si="4"/>
        <v>0</v>
      </c>
      <c r="I25" s="55"/>
      <c r="J25" s="96"/>
      <c r="K25" s="55"/>
      <c r="L25" s="55"/>
      <c r="M25" s="55"/>
      <c r="N25" s="55"/>
      <c r="O25" s="96">
        <f t="shared" si="5"/>
        <v>0</v>
      </c>
      <c r="P25" s="83"/>
      <c r="Q25" s="1">
        <v>696.5</v>
      </c>
      <c r="R25" s="173">
        <f t="shared" si="2"/>
        <v>0.0008529069247715274</v>
      </c>
      <c r="S25" s="87">
        <f t="shared" si="3"/>
        <v>47.419784870606726</v>
      </c>
      <c r="T25" s="19"/>
    </row>
    <row r="26" spans="1:19" ht="12.75">
      <c r="A26" s="2" t="s">
        <v>66</v>
      </c>
      <c r="B26" s="2"/>
      <c r="C26" s="80">
        <f>SUM(C10:C25)</f>
        <v>116329590</v>
      </c>
      <c r="D26" s="174">
        <f>SUM(D10:D25)</f>
        <v>1</v>
      </c>
      <c r="E26" s="91">
        <f>SUM(E10:E25)</f>
        <v>55597.842500000006</v>
      </c>
      <c r="F26" s="60"/>
      <c r="G26" s="80">
        <f>SUM(G10:G25)</f>
        <v>4655565.5</v>
      </c>
      <c r="H26" s="91">
        <f>SUM(H10:H25)</f>
        <v>4655.5655</v>
      </c>
      <c r="I26" s="60"/>
      <c r="J26" s="91">
        <f>SUM(J10:J25)</f>
        <v>0</v>
      </c>
      <c r="K26" s="60"/>
      <c r="L26" s="60">
        <f>SUM(L10:L25)</f>
        <v>7490539.5</v>
      </c>
      <c r="M26" s="60"/>
      <c r="N26" s="60">
        <f>SUM(N10:N25)</f>
        <v>534898.5</v>
      </c>
      <c r="O26" s="91">
        <f>SUM(O10:O25)</f>
        <v>534.8985</v>
      </c>
      <c r="P26" s="92"/>
      <c r="Q26" s="60">
        <f>SUM(Q10:Q25)</f>
        <v>816619</v>
      </c>
      <c r="R26" s="174">
        <f t="shared" si="2"/>
        <v>1</v>
      </c>
      <c r="S26" s="93">
        <f t="shared" si="3"/>
        <v>55597.8425</v>
      </c>
    </row>
    <row r="27" spans="1:28" ht="12.75">
      <c r="A27" s="2"/>
      <c r="B27" s="2"/>
      <c r="C27" s="1"/>
      <c r="E27" s="1"/>
      <c r="F27" s="1"/>
      <c r="G27" s="1"/>
      <c r="H27" s="1"/>
      <c r="I27" s="1"/>
      <c r="J27" s="1"/>
      <c r="K27" s="1"/>
      <c r="L27" s="1"/>
      <c r="M27" s="1"/>
      <c r="N27" s="1"/>
      <c r="O27" s="1"/>
      <c r="T27" s="19"/>
      <c r="U27" s="1"/>
      <c r="V27" s="19"/>
      <c r="X27" s="19"/>
      <c r="AA27" s="19"/>
      <c r="AB27" s="1"/>
    </row>
    <row r="28" spans="1:28" ht="12.75">
      <c r="A28" s="2"/>
      <c r="B28" s="2"/>
      <c r="C28" s="1"/>
      <c r="E28" s="1"/>
      <c r="F28" s="1"/>
      <c r="G28" s="1"/>
      <c r="H28" s="1"/>
      <c r="I28" s="1"/>
      <c r="J28" s="1"/>
      <c r="K28" s="1"/>
      <c r="L28" s="1"/>
      <c r="M28" s="1"/>
      <c r="N28" s="1"/>
      <c r="O28" s="1"/>
      <c r="Q28" s="1"/>
      <c r="S28" s="1"/>
      <c r="T28" s="19"/>
      <c r="U28" s="1"/>
      <c r="AB28" s="1"/>
    </row>
    <row r="29" spans="1:28" ht="12.75">
      <c r="A29" s="2"/>
      <c r="B29" s="2"/>
      <c r="C29" s="1"/>
      <c r="E29" s="1"/>
      <c r="F29" s="1"/>
      <c r="G29" s="1"/>
      <c r="H29" s="1"/>
      <c r="I29" s="1"/>
      <c r="J29" s="1"/>
      <c r="K29" s="1"/>
      <c r="L29" s="1"/>
      <c r="M29" s="1"/>
      <c r="N29" s="1"/>
      <c r="O29" s="1"/>
      <c r="Q29" s="1"/>
      <c r="S29" s="1"/>
      <c r="T29" s="19"/>
      <c r="U29" s="1"/>
      <c r="AB29" s="1"/>
    </row>
    <row r="30" spans="1:28" ht="12.75">
      <c r="A30" s="2"/>
      <c r="B30" s="2"/>
      <c r="C30" s="1"/>
      <c r="E30" s="1"/>
      <c r="F30" s="1"/>
      <c r="G30" s="9"/>
      <c r="H30" s="9"/>
      <c r="I30" s="9"/>
      <c r="J30" s="9"/>
      <c r="K30" s="9"/>
      <c r="L30" s="1"/>
      <c r="M30" s="1"/>
      <c r="N30" s="1"/>
      <c r="O30" s="1"/>
      <c r="P30" s="19"/>
      <c r="Q30" s="1"/>
      <c r="S30" s="1"/>
      <c r="T30" s="19"/>
      <c r="U30" s="1"/>
      <c r="AB30" s="1"/>
    </row>
    <row r="31" spans="1:28" ht="12.75" customHeight="1" hidden="1">
      <c r="A31" s="2"/>
      <c r="B31" s="2"/>
      <c r="C31" s="1"/>
      <c r="E31" s="1"/>
      <c r="F31" s="1"/>
      <c r="G31" s="1"/>
      <c r="H31" s="1"/>
      <c r="I31" s="1"/>
      <c r="J31" s="1"/>
      <c r="K31" s="1"/>
      <c r="L31" s="1"/>
      <c r="M31" s="1"/>
      <c r="N31" s="1"/>
      <c r="O31" s="1"/>
      <c r="P31" s="19"/>
      <c r="Q31" s="1"/>
      <c r="S31" s="1"/>
      <c r="T31" s="19"/>
      <c r="U31" s="1"/>
      <c r="AB31" s="1"/>
    </row>
    <row r="32" ht="12.75">
      <c r="P32" s="19"/>
    </row>
    <row r="33" ht="12.75">
      <c r="P33" s="19"/>
    </row>
    <row r="34" ht="12.75">
      <c r="P34" s="19"/>
    </row>
  </sheetData>
  <sheetProtection/>
  <printOptions/>
  <pageMargins left="0.75" right="0.75" top="1" bottom="1" header="0.5" footer="0.5"/>
  <pageSetup fitToHeight="1" fitToWidth="1" horizontalDpi="600" verticalDpi="600" orientation="landscape" paperSize="5" r:id="rId1"/>
  <headerFooter alignWithMargins="0">
    <oddHeader>&amp;C&amp;A--FY03</oddHeader>
    <oddFooter>&amp;CPage &amp;P</oddFooter>
  </headerFooter>
</worksheet>
</file>

<file path=xl/worksheets/sheet4.xml><?xml version="1.0" encoding="utf-8"?>
<worksheet xmlns="http://schemas.openxmlformats.org/spreadsheetml/2006/main" xmlns:r="http://schemas.openxmlformats.org/officeDocument/2006/relationships">
  <dimension ref="A1:G28"/>
  <sheetViews>
    <sheetView zoomScalePageLayoutView="0" workbookViewId="0" topLeftCell="A4">
      <selection activeCell="A4" sqref="A4"/>
    </sheetView>
  </sheetViews>
  <sheetFormatPr defaultColWidth="9.140625" defaultRowHeight="12.75"/>
  <cols>
    <col min="1" max="1" width="5.28125" style="0" customWidth="1"/>
    <col min="2" max="2" width="20.28125" style="0" customWidth="1"/>
    <col min="7" max="7" width="7.7109375" style="0" bestFit="1" customWidth="1"/>
  </cols>
  <sheetData>
    <row r="1" spans="1:2" ht="12.75">
      <c r="A1" s="1"/>
      <c r="B1" s="1"/>
    </row>
    <row r="2" spans="1:2" ht="12.75">
      <c r="A2" s="1"/>
      <c r="B2" s="1"/>
    </row>
    <row r="3" spans="1:2" ht="12.75">
      <c r="A3" s="1"/>
      <c r="B3" s="1"/>
    </row>
    <row r="4" spans="1:2" ht="12.75">
      <c r="A4" s="1"/>
      <c r="B4" s="1"/>
    </row>
    <row r="5" spans="1:3" ht="12.75">
      <c r="A5" s="1"/>
      <c r="B5" s="1"/>
      <c r="C5" s="142" t="s">
        <v>139</v>
      </c>
    </row>
    <row r="6" spans="1:5" ht="12.75">
      <c r="A6" s="2" t="s">
        <v>9</v>
      </c>
      <c r="B6" s="2"/>
      <c r="C6" s="124"/>
      <c r="D6" s="122"/>
      <c r="E6" s="123"/>
    </row>
    <row r="7" spans="1:5" ht="12.75">
      <c r="A7" s="2"/>
      <c r="B7" s="5"/>
      <c r="C7" s="47"/>
      <c r="D7" s="36"/>
      <c r="E7" s="117" t="s">
        <v>12</v>
      </c>
    </row>
    <row r="8" spans="1:5" ht="12.75">
      <c r="A8" s="2"/>
      <c r="B8" s="5"/>
      <c r="C8" s="15" t="s">
        <v>6</v>
      </c>
      <c r="D8" s="98" t="s">
        <v>19</v>
      </c>
      <c r="E8" s="118">
        <f>+'Undergrad Income'!C36</f>
        <v>4042.25</v>
      </c>
    </row>
    <row r="9" spans="1:5" ht="12.75">
      <c r="A9" s="7" t="s">
        <v>25</v>
      </c>
      <c r="B9" s="8"/>
      <c r="C9" s="16" t="s">
        <v>126</v>
      </c>
      <c r="D9" s="13" t="s">
        <v>27</v>
      </c>
      <c r="E9" s="119" t="s">
        <v>28</v>
      </c>
    </row>
    <row r="10" spans="1:7" ht="12.75">
      <c r="A10" s="66" t="s">
        <v>34</v>
      </c>
      <c r="B10" s="67" t="s">
        <v>35</v>
      </c>
      <c r="C10" s="1">
        <v>924.5</v>
      </c>
      <c r="D10" s="72">
        <f>+C10/$C$26</f>
        <v>0.03323268269887487</v>
      </c>
      <c r="E10" s="120">
        <f>+$E$8*D10</f>
        <v>134.33481163952692</v>
      </c>
      <c r="G10" s="1"/>
    </row>
    <row r="11" spans="1:7" ht="12.75">
      <c r="A11" s="68" t="s">
        <v>36</v>
      </c>
      <c r="B11" s="5" t="s">
        <v>37</v>
      </c>
      <c r="C11" s="1">
        <v>5421</v>
      </c>
      <c r="D11" s="89">
        <f aca="true" t="shared" si="0" ref="D11:D26">+C11/$C$26</f>
        <v>0.19486681764261835</v>
      </c>
      <c r="E11" s="31">
        <f aca="true" t="shared" si="1" ref="E11:E25">+$E$8*D11</f>
        <v>787.700393615874</v>
      </c>
      <c r="G11" s="1"/>
    </row>
    <row r="12" spans="1:7" ht="12.75">
      <c r="A12" s="68" t="s">
        <v>38</v>
      </c>
      <c r="B12" s="5" t="s">
        <v>39</v>
      </c>
      <c r="C12" s="1">
        <v>778.5</v>
      </c>
      <c r="D12" s="89">
        <f t="shared" si="0"/>
        <v>0.027984471044969265</v>
      </c>
      <c r="E12" s="31">
        <f t="shared" si="1"/>
        <v>113.12022808152702</v>
      </c>
      <c r="G12" s="1"/>
    </row>
    <row r="13" spans="1:7" ht="12.75">
      <c r="A13" s="68" t="s">
        <v>40</v>
      </c>
      <c r="B13" s="5" t="s">
        <v>41</v>
      </c>
      <c r="C13" s="1">
        <v>3955.5</v>
      </c>
      <c r="D13" s="89">
        <f t="shared" si="0"/>
        <v>0.14218699450016176</v>
      </c>
      <c r="E13" s="31">
        <f t="shared" si="1"/>
        <v>574.7553785182788</v>
      </c>
      <c r="G13" s="1"/>
    </row>
    <row r="14" spans="1:7" ht="12.75">
      <c r="A14" s="68" t="s">
        <v>42</v>
      </c>
      <c r="B14" s="5" t="s">
        <v>43</v>
      </c>
      <c r="C14" s="1">
        <v>1301</v>
      </c>
      <c r="D14" s="89">
        <f t="shared" si="0"/>
        <v>0.046766598368021856</v>
      </c>
      <c r="E14" s="31">
        <f t="shared" si="1"/>
        <v>189.04228225313634</v>
      </c>
      <c r="G14" s="1"/>
    </row>
    <row r="15" spans="1:7" ht="12.75">
      <c r="A15" s="68" t="s">
        <v>44</v>
      </c>
      <c r="B15" s="5" t="s">
        <v>45</v>
      </c>
      <c r="C15" s="1">
        <v>326</v>
      </c>
      <c r="D15" s="89">
        <f t="shared" si="0"/>
        <v>0.011718609583378267</v>
      </c>
      <c r="E15" s="31">
        <f t="shared" si="1"/>
        <v>47.3695495884108</v>
      </c>
      <c r="G15" s="1"/>
    </row>
    <row r="16" spans="1:7" ht="12.75">
      <c r="A16" s="68" t="s">
        <v>46</v>
      </c>
      <c r="B16" s="5" t="s">
        <v>47</v>
      </c>
      <c r="C16" s="1">
        <v>4.5</v>
      </c>
      <c r="D16" s="89">
        <f t="shared" si="0"/>
        <v>0.00016175994823681658</v>
      </c>
      <c r="E16" s="31">
        <f t="shared" si="1"/>
        <v>0.6538741507602718</v>
      </c>
      <c r="G16" s="1"/>
    </row>
    <row r="17" spans="1:7" ht="12.75">
      <c r="A17" s="68" t="s">
        <v>48</v>
      </c>
      <c r="B17" s="5" t="s">
        <v>49</v>
      </c>
      <c r="C17" s="1">
        <v>13434.5</v>
      </c>
      <c r="D17" s="89">
        <f t="shared" si="0"/>
        <v>0.48292533879722493</v>
      </c>
      <c r="E17" s="31">
        <f t="shared" si="1"/>
        <v>1952.1049507530824</v>
      </c>
      <c r="G17" s="1"/>
    </row>
    <row r="18" spans="1:7" ht="12.75">
      <c r="A18" s="68" t="s">
        <v>50</v>
      </c>
      <c r="B18" s="5" t="s">
        <v>51</v>
      </c>
      <c r="C18" s="1">
        <v>1379.5</v>
      </c>
      <c r="D18" s="89">
        <f t="shared" si="0"/>
        <v>0.04958841079837521</v>
      </c>
      <c r="E18" s="31">
        <f t="shared" si="1"/>
        <v>200.4487535497322</v>
      </c>
      <c r="G18" s="1"/>
    </row>
    <row r="19" spans="1:7" ht="12.75">
      <c r="A19" s="68" t="s">
        <v>52</v>
      </c>
      <c r="B19" s="5" t="s">
        <v>53</v>
      </c>
      <c r="C19" s="1">
        <v>17</v>
      </c>
      <c r="D19" s="89">
        <f t="shared" si="0"/>
        <v>0.0006110931377835292</v>
      </c>
      <c r="E19" s="31">
        <f t="shared" si="1"/>
        <v>2.470191236205471</v>
      </c>
      <c r="G19" s="1"/>
    </row>
    <row r="20" spans="1:7" ht="12.75">
      <c r="A20" s="69" t="s">
        <v>54</v>
      </c>
      <c r="B20" s="5" t="s">
        <v>55</v>
      </c>
      <c r="C20" s="1">
        <v>0</v>
      </c>
      <c r="D20" s="89">
        <f t="shared" si="0"/>
        <v>0</v>
      </c>
      <c r="E20" s="31">
        <f t="shared" si="1"/>
        <v>0</v>
      </c>
      <c r="G20" s="1"/>
    </row>
    <row r="21" spans="1:7" ht="12.75">
      <c r="A21" s="68" t="s">
        <v>56</v>
      </c>
      <c r="B21" s="5" t="s">
        <v>57</v>
      </c>
      <c r="C21" s="1">
        <v>263.5</v>
      </c>
      <c r="D21" s="89">
        <f t="shared" si="0"/>
        <v>0.009471943635644704</v>
      </c>
      <c r="E21" s="31">
        <f t="shared" si="1"/>
        <v>38.2879641611848</v>
      </c>
      <c r="G21" s="1"/>
    </row>
    <row r="22" spans="1:7" ht="12.75">
      <c r="A22" s="68" t="s">
        <v>58</v>
      </c>
      <c r="B22" s="5" t="s">
        <v>59</v>
      </c>
      <c r="C22" s="1">
        <v>4</v>
      </c>
      <c r="D22" s="89">
        <f t="shared" si="0"/>
        <v>0.00014378662065494806</v>
      </c>
      <c r="E22" s="31">
        <f t="shared" si="1"/>
        <v>0.5812214673424638</v>
      </c>
      <c r="G22" s="1"/>
    </row>
    <row r="23" spans="1:7" ht="12.75">
      <c r="A23" s="68" t="s">
        <v>60</v>
      </c>
      <c r="B23" s="5" t="s">
        <v>61</v>
      </c>
      <c r="C23" s="1">
        <v>4</v>
      </c>
      <c r="D23" s="89">
        <f t="shared" si="0"/>
        <v>0.00014378662065494806</v>
      </c>
      <c r="E23" s="31">
        <f t="shared" si="1"/>
        <v>0.5812214673424638</v>
      </c>
      <c r="G23" s="1"/>
    </row>
    <row r="24" spans="1:7" ht="12.75">
      <c r="A24" s="69" t="s">
        <v>62</v>
      </c>
      <c r="B24" s="5" t="s">
        <v>63</v>
      </c>
      <c r="C24" s="1"/>
      <c r="D24" s="89"/>
      <c r="E24" s="31">
        <f>+'Undergrad Income'!C34</f>
        <v>212.75</v>
      </c>
      <c r="G24" s="1"/>
    </row>
    <row r="25" spans="1:7" ht="12.75">
      <c r="A25" s="68" t="s">
        <v>64</v>
      </c>
      <c r="B25" s="5" t="s">
        <v>65</v>
      </c>
      <c r="C25" s="1">
        <v>5.5</v>
      </c>
      <c r="D25" s="89">
        <f>+C25/$C$26</f>
        <v>0.00019770660340055358</v>
      </c>
      <c r="E25" s="31">
        <f t="shared" si="1"/>
        <v>0.7991795175958877</v>
      </c>
      <c r="G25" s="1"/>
    </row>
    <row r="26" spans="1:7" ht="12.75">
      <c r="A26" s="125" t="s">
        <v>66</v>
      </c>
      <c r="B26" s="126"/>
      <c r="C26" s="109">
        <f>SUM(C10:C25)</f>
        <v>27819</v>
      </c>
      <c r="D26" s="90">
        <f t="shared" si="0"/>
        <v>1</v>
      </c>
      <c r="E26" s="77">
        <f>SUM(E10:E25)</f>
        <v>4255</v>
      </c>
      <c r="G26" s="19"/>
    </row>
    <row r="27" spans="1:2" ht="12.75">
      <c r="A27" s="2"/>
      <c r="B27" s="2"/>
    </row>
    <row r="28" spans="1:2" ht="12.75">
      <c r="A28" s="2"/>
      <c r="B28" s="2"/>
    </row>
  </sheetData>
  <sheetProtection/>
  <printOptions/>
  <pageMargins left="0.75" right="0.75" top="1" bottom="1" header="0.5" footer="0.5"/>
  <pageSetup horizontalDpi="600" verticalDpi="600" orientation="portrait" r:id="rId1"/>
  <headerFooter alignWithMargins="0">
    <oddHeader>&amp;C&amp;A--FY03</oddHeader>
    <oddFooter>&amp;CPage &amp;P</oddFooter>
  </headerFooter>
</worksheet>
</file>

<file path=xl/worksheets/sheet5.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G1"/>
    </sheetView>
  </sheetViews>
  <sheetFormatPr defaultColWidth="8.8515625" defaultRowHeight="12.75"/>
  <cols>
    <col min="1" max="1" width="27.00390625" style="1" customWidth="1"/>
    <col min="2" max="2" width="7.8515625" style="1" bestFit="1" customWidth="1"/>
    <col min="3" max="3" width="8.8515625" style="1" customWidth="1"/>
    <col min="4" max="4" width="8.421875" style="1" bestFit="1" customWidth="1"/>
    <col min="5" max="16384" width="8.8515625" style="1" customWidth="1"/>
  </cols>
  <sheetData>
    <row r="1" spans="1:7" ht="12.75">
      <c r="A1" s="185" t="s">
        <v>164</v>
      </c>
      <c r="B1" s="185"/>
      <c r="C1" s="185"/>
      <c r="D1" s="185"/>
      <c r="E1" s="185"/>
      <c r="F1" s="185"/>
      <c r="G1" s="185"/>
    </row>
    <row r="2" ht="12.75"/>
    <row r="3" ht="12.75">
      <c r="A3" s="10" t="s">
        <v>67</v>
      </c>
    </row>
    <row r="4" ht="12.75"/>
    <row r="5" ht="12.75"/>
    <row r="6" ht="12.75"/>
    <row r="7" spans="1:4" ht="12.75">
      <c r="A7" s="1" t="s">
        <v>152</v>
      </c>
      <c r="B7" s="11">
        <f>6790+340</f>
        <v>7130</v>
      </c>
      <c r="D7" s="148"/>
    </row>
    <row r="8" spans="2:4" ht="12.75">
      <c r="B8" s="11"/>
      <c r="D8" s="148"/>
    </row>
    <row r="9" spans="1:4" ht="12.75">
      <c r="A9" s="1" t="s">
        <v>154</v>
      </c>
      <c r="B9" s="1">
        <f>+B7*0.03</f>
        <v>213.9</v>
      </c>
      <c r="D9" s="148"/>
    </row>
    <row r="10" ht="12.75"/>
    <row r="11" spans="1:2" ht="12.75">
      <c r="A11" s="1" t="s">
        <v>150</v>
      </c>
      <c r="B11" s="1">
        <v>0</v>
      </c>
    </row>
    <row r="12" ht="12.75"/>
    <row r="13" spans="1:2" ht="12.75">
      <c r="A13" s="1" t="s">
        <v>146</v>
      </c>
      <c r="B13" s="1">
        <f>+B7+B9+B11</f>
        <v>7343.9</v>
      </c>
    </row>
    <row r="14" ht="12.75"/>
    <row r="15" ht="12.75"/>
    <row r="16" ht="12.75"/>
    <row r="17" ht="12.75"/>
    <row r="18" ht="12.75">
      <c r="A18" s="10" t="s">
        <v>5</v>
      </c>
    </row>
    <row r="19" ht="12.75"/>
    <row r="20" ht="12.75"/>
    <row r="21" spans="1:2" ht="12.75">
      <c r="A21" s="1" t="s">
        <v>68</v>
      </c>
      <c r="B21" s="1">
        <f>43-8-2+992-51-17</f>
        <v>957</v>
      </c>
    </row>
    <row r="22" ht="12.75"/>
    <row r="23" ht="12.75"/>
    <row r="24" spans="1:2" ht="15">
      <c r="A24" s="1" t="s">
        <v>69</v>
      </c>
      <c r="B24" s="100">
        <f>+B21*0.05</f>
        <v>47.85</v>
      </c>
    </row>
    <row r="27" spans="1:2" ht="12.75">
      <c r="A27" s="1" t="s">
        <v>2</v>
      </c>
      <c r="B27" s="11">
        <f>+B21-B24</f>
        <v>909.15</v>
      </c>
    </row>
  </sheetData>
  <sheetProtection/>
  <mergeCells count="1">
    <mergeCell ref="A1:G1"/>
  </mergeCells>
  <printOptions/>
  <pageMargins left="0.75" right="0.75" top="1" bottom="1" header="0.5" footer="0.5"/>
  <pageSetup horizontalDpi="600" verticalDpi="600" orientation="portrait" r:id="rId3"/>
  <headerFooter alignWithMargins="0">
    <oddHeader>&amp;C&amp;A</oddHeader>
    <oddFooter>&amp;CPage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PageLayoutView="0" workbookViewId="0" topLeftCell="A1">
      <selection activeCell="A1" sqref="A1"/>
    </sheetView>
  </sheetViews>
  <sheetFormatPr defaultColWidth="9.140625" defaultRowHeight="12.75"/>
  <cols>
    <col min="1" max="1" width="3.7109375" style="0" customWidth="1"/>
    <col min="2" max="2" width="21.00390625" style="0" customWidth="1"/>
    <col min="3" max="3" width="12.421875" style="0" customWidth="1"/>
    <col min="4" max="4" width="12.28125" style="0" customWidth="1"/>
    <col min="5" max="7" width="12.421875" style="0" customWidth="1"/>
    <col min="8" max="8" width="8.140625" style="0" customWidth="1"/>
    <col min="9" max="9" width="9.421875" style="0" bestFit="1" customWidth="1"/>
    <col min="10" max="10" width="1.28515625" style="0" customWidth="1"/>
  </cols>
  <sheetData>
    <row r="1" spans="3:10" ht="12.75">
      <c r="C1" s="1"/>
      <c r="D1" s="1"/>
      <c r="E1" s="1"/>
      <c r="F1" s="1"/>
      <c r="G1" s="1"/>
      <c r="H1" s="1"/>
      <c r="I1" s="1"/>
      <c r="J1" s="1"/>
    </row>
    <row r="2" spans="3:10" ht="12.75">
      <c r="C2" s="1"/>
      <c r="D2" s="1"/>
      <c r="E2" s="1"/>
      <c r="F2" s="1"/>
      <c r="G2" s="1"/>
      <c r="H2" s="1"/>
      <c r="I2" s="1"/>
      <c r="J2" s="1"/>
    </row>
    <row r="3" spans="3:10" ht="12.75">
      <c r="C3" s="1"/>
      <c r="D3" s="1"/>
      <c r="E3" s="1"/>
      <c r="F3" s="1"/>
      <c r="G3" s="1"/>
      <c r="H3" s="1"/>
      <c r="I3" s="1"/>
      <c r="J3" s="1"/>
    </row>
    <row r="4" spans="3:10" ht="12.75">
      <c r="C4" s="1"/>
      <c r="D4" s="1"/>
      <c r="E4" s="1"/>
      <c r="F4" s="1"/>
      <c r="G4" s="1"/>
      <c r="H4" s="1"/>
      <c r="I4" s="1"/>
      <c r="J4" s="1"/>
    </row>
    <row r="5" spans="3:10" ht="12.75">
      <c r="C5" s="186" t="s">
        <v>139</v>
      </c>
      <c r="D5" s="186"/>
      <c r="E5" s="186"/>
      <c r="F5" s="186"/>
      <c r="G5" s="186"/>
      <c r="H5" s="186"/>
      <c r="I5" s="1"/>
      <c r="J5" s="1"/>
    </row>
    <row r="6" spans="2:11" ht="13.5" thickBot="1">
      <c r="B6" s="24"/>
      <c r="C6" s="3" t="s">
        <v>163</v>
      </c>
      <c r="D6" s="4"/>
      <c r="E6" s="25"/>
      <c r="F6" s="4"/>
      <c r="G6" s="25"/>
      <c r="H6" s="26"/>
      <c r="I6" s="27"/>
      <c r="J6" s="82"/>
      <c r="K6" s="78"/>
    </row>
    <row r="7" spans="2:11" ht="13.5" thickTop="1">
      <c r="B7" s="24"/>
      <c r="C7" s="15"/>
      <c r="D7" s="12" t="s">
        <v>13</v>
      </c>
      <c r="E7" s="21" t="s">
        <v>14</v>
      </c>
      <c r="F7" s="12" t="s">
        <v>15</v>
      </c>
      <c r="G7" s="76"/>
      <c r="H7" s="23" t="s">
        <v>70</v>
      </c>
      <c r="I7" s="28" t="s">
        <v>12</v>
      </c>
      <c r="J7" s="83"/>
      <c r="K7" s="28" t="s">
        <v>148</v>
      </c>
    </row>
    <row r="8" spans="2:11" ht="12.75">
      <c r="B8" s="24"/>
      <c r="C8" s="15" t="s">
        <v>18</v>
      </c>
      <c r="D8" s="12" t="s">
        <v>20</v>
      </c>
      <c r="E8" s="21" t="s">
        <v>71</v>
      </c>
      <c r="F8" s="12" t="s">
        <v>72</v>
      </c>
      <c r="G8" s="21" t="s">
        <v>26</v>
      </c>
      <c r="H8" s="21" t="s">
        <v>73</v>
      </c>
      <c r="I8" s="29">
        <f>+'Grad Income'!B13</f>
        <v>7343.9</v>
      </c>
      <c r="J8" s="83"/>
      <c r="K8" s="28" t="s">
        <v>74</v>
      </c>
    </row>
    <row r="9" spans="1:11" ht="12.75">
      <c r="A9" s="7" t="s">
        <v>25</v>
      </c>
      <c r="B9" s="8"/>
      <c r="C9" s="16" t="s">
        <v>26</v>
      </c>
      <c r="D9" s="13" t="s">
        <v>29</v>
      </c>
      <c r="E9" s="22" t="s">
        <v>26</v>
      </c>
      <c r="F9" s="13" t="s">
        <v>25</v>
      </c>
      <c r="G9" s="22" t="s">
        <v>75</v>
      </c>
      <c r="H9" s="22" t="s">
        <v>27</v>
      </c>
      <c r="I9" s="30" t="s">
        <v>76</v>
      </c>
      <c r="J9" s="84"/>
      <c r="K9" s="30" t="s">
        <v>77</v>
      </c>
    </row>
    <row r="10" spans="1:11" ht="12.75">
      <c r="A10" s="2" t="s">
        <v>34</v>
      </c>
      <c r="B10" s="2" t="s">
        <v>35</v>
      </c>
      <c r="C10" s="51">
        <v>3781164.5</v>
      </c>
      <c r="D10" s="147">
        <v>0</v>
      </c>
      <c r="E10" s="71">
        <f>+D10+C10</f>
        <v>3781164.5</v>
      </c>
      <c r="F10" s="52">
        <v>3544651</v>
      </c>
      <c r="G10" s="52">
        <f aca="true" t="shared" si="0" ref="G10:G25">+E10-F10</f>
        <v>236513.5</v>
      </c>
      <c r="H10" s="89">
        <f>+G10/$G$26</f>
        <v>0.0345378543943808</v>
      </c>
      <c r="I10" s="73">
        <f aca="true" t="shared" si="1" ref="I10:I26">+$I$8*H10</f>
        <v>253.64254888689314</v>
      </c>
      <c r="J10" s="83"/>
      <c r="K10" s="74"/>
    </row>
    <row r="11" spans="1:14" ht="12.75">
      <c r="A11" s="2" t="s">
        <v>36</v>
      </c>
      <c r="B11" s="2" t="s">
        <v>37</v>
      </c>
      <c r="C11" s="54">
        <f>5522299-C31-305500</f>
        <v>1888199</v>
      </c>
      <c r="D11" s="139">
        <f>2456018.5-D31</f>
        <v>0</v>
      </c>
      <c r="E11" s="75">
        <f aca="true" t="shared" si="2" ref="E11:E23">+D11+C11</f>
        <v>1888199</v>
      </c>
      <c r="F11" s="55">
        <f>1984417-F31</f>
        <v>1731933</v>
      </c>
      <c r="G11" s="55">
        <f t="shared" si="0"/>
        <v>156266</v>
      </c>
      <c r="H11" s="89">
        <f aca="true" t="shared" si="3" ref="H11:H26">+G11/$G$26</f>
        <v>0.02281938390321191</v>
      </c>
      <c r="I11" s="31">
        <f t="shared" si="1"/>
        <v>167.58327344679793</v>
      </c>
      <c r="J11" s="83"/>
      <c r="K11" s="31">
        <f>(11849*1.03)+(667*1.03)</f>
        <v>12891.480000000001</v>
      </c>
      <c r="L11" s="19">
        <f>+K11+I11</f>
        <v>13059.0632734468</v>
      </c>
      <c r="N11" s="19"/>
    </row>
    <row r="12" spans="1:11" ht="12.75">
      <c r="A12" s="2" t="s">
        <v>38</v>
      </c>
      <c r="B12" s="2" t="s">
        <v>39</v>
      </c>
      <c r="C12" s="54">
        <v>4050832</v>
      </c>
      <c r="D12" s="139">
        <v>0</v>
      </c>
      <c r="E12" s="75">
        <f t="shared" si="2"/>
        <v>4050832</v>
      </c>
      <c r="F12" s="55">
        <v>3315269</v>
      </c>
      <c r="G12" s="55">
        <f t="shared" si="0"/>
        <v>735563</v>
      </c>
      <c r="H12" s="89">
        <f t="shared" si="3"/>
        <v>0.10741360553158244</v>
      </c>
      <c r="I12" s="31">
        <f t="shared" si="1"/>
        <v>788.8347776633882</v>
      </c>
      <c r="J12" s="83"/>
      <c r="K12" s="32"/>
    </row>
    <row r="13" spans="1:11" ht="12.75">
      <c r="A13" s="2" t="s">
        <v>40</v>
      </c>
      <c r="B13" s="2" t="s">
        <v>41</v>
      </c>
      <c r="C13" s="54">
        <v>19255434.5</v>
      </c>
      <c r="D13" s="139">
        <v>923445</v>
      </c>
      <c r="E13" s="75">
        <f t="shared" si="2"/>
        <v>20178879.5</v>
      </c>
      <c r="F13" s="55">
        <v>18599569</v>
      </c>
      <c r="G13" s="55">
        <f t="shared" si="0"/>
        <v>1579310.5</v>
      </c>
      <c r="H13" s="89">
        <f t="shared" si="3"/>
        <v>0.23062529662161668</v>
      </c>
      <c r="I13" s="31">
        <f t="shared" si="1"/>
        <v>1693.6891158594906</v>
      </c>
      <c r="J13" s="83"/>
      <c r="K13" s="32"/>
    </row>
    <row r="14" spans="1:11" ht="12.75">
      <c r="A14" s="2" t="s">
        <v>42</v>
      </c>
      <c r="B14" s="2" t="s">
        <v>43</v>
      </c>
      <c r="C14" s="54">
        <v>5752050.5</v>
      </c>
      <c r="D14" s="139">
        <v>177499</v>
      </c>
      <c r="E14" s="75">
        <f t="shared" si="2"/>
        <v>5929549.5</v>
      </c>
      <c r="F14" s="55">
        <v>4884458.5</v>
      </c>
      <c r="G14" s="55">
        <f t="shared" si="0"/>
        <v>1045091</v>
      </c>
      <c r="H14" s="89">
        <f t="shared" si="3"/>
        <v>0.15261370191079082</v>
      </c>
      <c r="I14" s="31">
        <f t="shared" si="1"/>
        <v>1120.7797654626568</v>
      </c>
      <c r="J14" s="83"/>
      <c r="K14" s="32"/>
    </row>
    <row r="15" spans="1:11" ht="12.75">
      <c r="A15" s="2" t="s">
        <v>44</v>
      </c>
      <c r="B15" s="2" t="s">
        <v>45</v>
      </c>
      <c r="C15" s="54">
        <v>686862.5</v>
      </c>
      <c r="D15" s="139">
        <v>0</v>
      </c>
      <c r="E15" s="75">
        <f t="shared" si="2"/>
        <v>686862.5</v>
      </c>
      <c r="F15" s="55">
        <v>644124</v>
      </c>
      <c r="G15" s="55">
        <f t="shared" si="0"/>
        <v>42738.5</v>
      </c>
      <c r="H15" s="89">
        <f t="shared" si="3"/>
        <v>0.0062410648442234535</v>
      </c>
      <c r="I15" s="31">
        <f t="shared" si="1"/>
        <v>45.83375610949262</v>
      </c>
      <c r="J15" s="83"/>
      <c r="K15" s="32"/>
    </row>
    <row r="16" spans="1:11" ht="12.75">
      <c r="A16" s="2" t="s">
        <v>46</v>
      </c>
      <c r="B16" s="2" t="s">
        <v>47</v>
      </c>
      <c r="C16" s="54">
        <v>388005.5</v>
      </c>
      <c r="D16" s="139">
        <v>268308.5</v>
      </c>
      <c r="E16" s="75">
        <f t="shared" si="2"/>
        <v>656314</v>
      </c>
      <c r="F16" s="55">
        <v>139184.5</v>
      </c>
      <c r="G16" s="55"/>
      <c r="H16" s="89">
        <f t="shared" si="3"/>
        <v>0</v>
      </c>
      <c r="I16" s="31">
        <f t="shared" si="1"/>
        <v>0</v>
      </c>
      <c r="J16" s="83"/>
      <c r="K16" s="32"/>
    </row>
    <row r="17" spans="1:11" ht="12.75">
      <c r="A17" s="2" t="s">
        <v>48</v>
      </c>
      <c r="B17" s="2" t="s">
        <v>49</v>
      </c>
      <c r="C17" s="54">
        <v>19822748</v>
      </c>
      <c r="D17" s="139">
        <v>357640</v>
      </c>
      <c r="E17" s="75">
        <f t="shared" si="2"/>
        <v>20180388</v>
      </c>
      <c r="F17" s="55">
        <v>19101351.5</v>
      </c>
      <c r="G17" s="55">
        <f t="shared" si="0"/>
        <v>1079036.5</v>
      </c>
      <c r="H17" s="89">
        <f t="shared" si="3"/>
        <v>0.15757073284705642</v>
      </c>
      <c r="I17" s="31">
        <f t="shared" si="1"/>
        <v>1157.1837049554977</v>
      </c>
      <c r="J17" s="83"/>
      <c r="K17" s="32"/>
    </row>
    <row r="18" spans="1:11" ht="12.75">
      <c r="A18" s="2" t="s">
        <v>50</v>
      </c>
      <c r="B18" s="2" t="s">
        <v>51</v>
      </c>
      <c r="C18" s="54">
        <v>1312244</v>
      </c>
      <c r="D18" s="139">
        <v>0</v>
      </c>
      <c r="E18" s="75">
        <f t="shared" si="2"/>
        <v>1312244</v>
      </c>
      <c r="F18" s="55">
        <v>1121262.5</v>
      </c>
      <c r="G18" s="55">
        <f t="shared" si="0"/>
        <v>190981.5</v>
      </c>
      <c r="H18" s="89">
        <f t="shared" si="3"/>
        <v>0.027888857249249777</v>
      </c>
      <c r="I18" s="31">
        <f t="shared" si="1"/>
        <v>204.81297875276542</v>
      </c>
      <c r="J18" s="83"/>
      <c r="K18" s="32"/>
    </row>
    <row r="19" spans="1:11" ht="12.75">
      <c r="A19" s="2" t="s">
        <v>52</v>
      </c>
      <c r="B19" s="2" t="s">
        <v>53</v>
      </c>
      <c r="C19" s="54">
        <v>641037.5</v>
      </c>
      <c r="D19" s="139">
        <v>0</v>
      </c>
      <c r="E19" s="75">
        <f t="shared" si="2"/>
        <v>641037.5</v>
      </c>
      <c r="F19" s="55">
        <v>574130</v>
      </c>
      <c r="G19" s="55">
        <f t="shared" si="0"/>
        <v>66907.5</v>
      </c>
      <c r="H19" s="89">
        <f t="shared" si="3"/>
        <v>0.009770442249140254</v>
      </c>
      <c r="I19" s="31">
        <f t="shared" si="1"/>
        <v>71.7531508334611</v>
      </c>
      <c r="J19" s="83"/>
      <c r="K19" s="32"/>
    </row>
    <row r="20" spans="1:11" ht="12.75">
      <c r="A20" s="18" t="s">
        <v>54</v>
      </c>
      <c r="B20" s="2" t="s">
        <v>55</v>
      </c>
      <c r="C20" s="54"/>
      <c r="D20" s="139"/>
      <c r="E20" s="75">
        <f t="shared" si="2"/>
        <v>0</v>
      </c>
      <c r="F20" s="55"/>
      <c r="G20" s="55">
        <f t="shared" si="0"/>
        <v>0</v>
      </c>
      <c r="H20" s="89">
        <f t="shared" si="3"/>
        <v>0</v>
      </c>
      <c r="I20" s="31">
        <f t="shared" si="1"/>
        <v>0</v>
      </c>
      <c r="J20" s="83"/>
      <c r="K20" s="32"/>
    </row>
    <row r="21" spans="1:11" ht="12.75">
      <c r="A21" s="2" t="s">
        <v>56</v>
      </c>
      <c r="B21" s="2" t="s">
        <v>57</v>
      </c>
      <c r="C21" s="54">
        <v>0</v>
      </c>
      <c r="D21" s="139">
        <v>0</v>
      </c>
      <c r="E21" s="75">
        <f t="shared" si="2"/>
        <v>0</v>
      </c>
      <c r="F21" s="1">
        <v>0</v>
      </c>
      <c r="G21" s="55">
        <f t="shared" si="0"/>
        <v>0</v>
      </c>
      <c r="H21" s="89">
        <f t="shared" si="3"/>
        <v>0</v>
      </c>
      <c r="I21" s="31">
        <f t="shared" si="1"/>
        <v>0</v>
      </c>
      <c r="J21" s="83"/>
      <c r="K21" s="32"/>
    </row>
    <row r="22" spans="1:11" ht="12.75">
      <c r="A22" s="2" t="s">
        <v>58</v>
      </c>
      <c r="B22" s="2" t="s">
        <v>59</v>
      </c>
      <c r="C22" s="54">
        <v>857458</v>
      </c>
      <c r="D22" s="139">
        <v>0</v>
      </c>
      <c r="E22" s="75">
        <f t="shared" si="2"/>
        <v>857458</v>
      </c>
      <c r="F22" s="1">
        <v>501459.5</v>
      </c>
      <c r="G22" s="55">
        <f t="shared" si="0"/>
        <v>355998.5</v>
      </c>
      <c r="H22" s="89">
        <f t="shared" si="3"/>
        <v>0.05198614183806833</v>
      </c>
      <c r="I22" s="31">
        <f t="shared" si="1"/>
        <v>381.78102704458996</v>
      </c>
      <c r="J22" s="83"/>
      <c r="K22" s="32"/>
    </row>
    <row r="23" spans="1:11" ht="12.75">
      <c r="A23" s="2" t="s">
        <v>60</v>
      </c>
      <c r="B23" s="2" t="s">
        <v>61</v>
      </c>
      <c r="C23" s="54">
        <v>1200820</v>
      </c>
      <c r="D23" s="139">
        <v>0</v>
      </c>
      <c r="E23" s="75">
        <f t="shared" si="2"/>
        <v>1200820</v>
      </c>
      <c r="F23" s="55">
        <v>438436.5</v>
      </c>
      <c r="G23" s="55">
        <f t="shared" si="0"/>
        <v>762383.5</v>
      </c>
      <c r="H23" s="89">
        <f t="shared" si="3"/>
        <v>0.11133017910469556</v>
      </c>
      <c r="I23" s="31">
        <f t="shared" si="1"/>
        <v>817.5977023269737</v>
      </c>
      <c r="J23" s="83"/>
      <c r="K23" s="32"/>
    </row>
    <row r="24" spans="1:11" ht="12.75">
      <c r="A24" s="18" t="s">
        <v>62</v>
      </c>
      <c r="B24" s="2" t="s">
        <v>63</v>
      </c>
      <c r="C24" s="54">
        <v>0</v>
      </c>
      <c r="D24" s="139">
        <v>0</v>
      </c>
      <c r="E24" s="75">
        <f>+D24+C24</f>
        <v>0</v>
      </c>
      <c r="G24" s="55">
        <f t="shared" si="0"/>
        <v>0</v>
      </c>
      <c r="H24" s="89"/>
      <c r="I24" s="31"/>
      <c r="J24" s="83"/>
      <c r="K24" s="32"/>
    </row>
    <row r="25" spans="1:11" ht="12.75">
      <c r="A25" s="2" t="s">
        <v>64</v>
      </c>
      <c r="B25" s="2" t="s">
        <v>65</v>
      </c>
      <c r="C25" s="54">
        <v>1650876.5</v>
      </c>
      <c r="D25" s="139">
        <v>104229.5</v>
      </c>
      <c r="E25" s="75">
        <f>+D25+C25</f>
        <v>1755106</v>
      </c>
      <c r="F25" s="1">
        <v>1157946</v>
      </c>
      <c r="G25" s="55">
        <f t="shared" si="0"/>
        <v>597160</v>
      </c>
      <c r="H25" s="89">
        <f t="shared" si="3"/>
        <v>0.08720273950598355</v>
      </c>
      <c r="I25" s="31">
        <f t="shared" si="1"/>
        <v>640.4081986579926</v>
      </c>
      <c r="J25" s="83"/>
      <c r="K25" s="32"/>
    </row>
    <row r="26" spans="1:11" ht="12.75">
      <c r="A26" s="2" t="s">
        <v>66</v>
      </c>
      <c r="B26" s="2"/>
      <c r="C26" s="57">
        <f>SUM(C10:C25)</f>
        <v>61287732.5</v>
      </c>
      <c r="D26" s="57">
        <f>SUM(D10:D25)</f>
        <v>1831122</v>
      </c>
      <c r="E26" s="57">
        <f>SUM(E10:E25)</f>
        <v>63118854.5</v>
      </c>
      <c r="F26" s="57">
        <f>SUM(F10:F25)</f>
        <v>55753775</v>
      </c>
      <c r="G26" s="58">
        <f>SUM(G10:G25)</f>
        <v>6847950</v>
      </c>
      <c r="H26" s="114">
        <f t="shared" si="3"/>
        <v>1</v>
      </c>
      <c r="I26" s="77">
        <f t="shared" si="1"/>
        <v>7343.9</v>
      </c>
      <c r="J26" s="84"/>
      <c r="K26" s="77">
        <f>SUM(K10:K25)</f>
        <v>12891.480000000001</v>
      </c>
    </row>
    <row r="27" spans="3:9" ht="12.75">
      <c r="C27" s="187" t="s">
        <v>139</v>
      </c>
      <c r="D27" s="187"/>
      <c r="E27" s="187"/>
      <c r="F27" s="187"/>
      <c r="G27" s="187"/>
      <c r="H27" s="79"/>
      <c r="I27" s="19"/>
    </row>
    <row r="28" spans="2:9" ht="12.75">
      <c r="B28" t="s">
        <v>145</v>
      </c>
      <c r="C28" s="139">
        <v>3116920</v>
      </c>
      <c r="D28" s="139">
        <v>2356181</v>
      </c>
      <c r="E28" s="75">
        <f>+C28+D28</f>
        <v>5473101</v>
      </c>
      <c r="F28" s="133">
        <v>240576</v>
      </c>
      <c r="G28" s="139">
        <f>+E28-F28</f>
        <v>5232525</v>
      </c>
      <c r="I28" s="149"/>
    </row>
    <row r="29" spans="2:7" ht="15">
      <c r="B29">
        <v>2001</v>
      </c>
      <c r="C29" s="139">
        <v>3540280</v>
      </c>
      <c r="D29" s="139">
        <v>2555856</v>
      </c>
      <c r="E29" s="75">
        <f>+C29+D29</f>
        <v>6096136</v>
      </c>
      <c r="F29" s="133">
        <v>264392</v>
      </c>
      <c r="G29" s="134">
        <f>+E29-F29</f>
        <v>5831744</v>
      </c>
    </row>
    <row r="30" spans="3:8" ht="12.75">
      <c r="C30" s="75">
        <f>+C28+C29</f>
        <v>6657200</v>
      </c>
      <c r="D30" s="75">
        <f>+D28+D29</f>
        <v>4912037</v>
      </c>
      <c r="E30" s="75">
        <f>+C30+D30</f>
        <v>11569237</v>
      </c>
      <c r="F30" s="75">
        <f>+F28+F29</f>
        <v>504968</v>
      </c>
      <c r="G30" s="55">
        <f>+E30-F30</f>
        <v>11064269</v>
      </c>
      <c r="H30" s="19"/>
    </row>
    <row r="31" spans="3:7" ht="12.75">
      <c r="C31" s="1">
        <f>+C30/2</f>
        <v>3328600</v>
      </c>
      <c r="D31" s="1">
        <f>+D30/2</f>
        <v>2456018.5</v>
      </c>
      <c r="E31" s="1">
        <f>+E30/2</f>
        <v>5784618.5</v>
      </c>
      <c r="F31" s="1">
        <f>+F30/2</f>
        <v>252484</v>
      </c>
      <c r="G31" s="1">
        <f>+G30/2</f>
        <v>5532134.5</v>
      </c>
    </row>
    <row r="34" spans="3:6" ht="12.75">
      <c r="C34" s="139"/>
      <c r="D34" s="139"/>
      <c r="E34" s="139"/>
      <c r="F34" s="139"/>
    </row>
    <row r="35" spans="3:6" ht="12.75">
      <c r="C35" s="55"/>
      <c r="D35" s="55"/>
      <c r="E35" s="55"/>
      <c r="F35" s="55"/>
    </row>
    <row r="36" spans="3:6" ht="12.75">
      <c r="C36" s="1">
        <f>+C35+C34</f>
        <v>0</v>
      </c>
      <c r="D36" s="1">
        <f>+D35+D34</f>
        <v>0</v>
      </c>
      <c r="E36" s="1">
        <f>+E35+E34</f>
        <v>0</v>
      </c>
      <c r="F36" s="1">
        <f>+F35+F34</f>
        <v>0</v>
      </c>
    </row>
    <row r="37" spans="3:6" ht="12.75">
      <c r="C37" s="1"/>
      <c r="D37" s="1"/>
      <c r="E37" s="1"/>
      <c r="F37" s="1"/>
    </row>
    <row r="38" spans="3:6" ht="12.75">
      <c r="C38" s="1"/>
      <c r="D38" s="1"/>
      <c r="E38" s="1"/>
      <c r="F38" s="1"/>
    </row>
  </sheetData>
  <sheetProtection/>
  <mergeCells count="2">
    <mergeCell ref="C5:H5"/>
    <mergeCell ref="C27:G27"/>
  </mergeCells>
  <printOptions/>
  <pageMargins left="0.75" right="0.75" top="1" bottom="1" header="0.5" footer="0.5"/>
  <pageSetup fitToHeight="1" fitToWidth="1" horizontalDpi="600" verticalDpi="600" orientation="landscape" scale="97" r:id="rId3"/>
  <headerFooter alignWithMargins="0">
    <oddHeader>&amp;C&amp;A--FY03</oddHeader>
    <oddFooter>&amp;L&amp;F
&amp;A&amp;CPage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1">
      <selection activeCell="E24" sqref="E24"/>
    </sheetView>
  </sheetViews>
  <sheetFormatPr defaultColWidth="9.140625" defaultRowHeight="12.75"/>
  <cols>
    <col min="1" max="1" width="3.140625" style="0" customWidth="1"/>
    <col min="2" max="2" width="20.28125" style="0" customWidth="1"/>
    <col min="3" max="3" width="10.421875" style="0" customWidth="1"/>
    <col min="4" max="4" width="10.140625" style="0" bestFit="1" customWidth="1"/>
    <col min="6" max="6" width="2.140625" style="1" customWidth="1"/>
    <col min="7" max="7" width="2.57421875" style="0" customWidth="1"/>
  </cols>
  <sheetData>
    <row r="1" spans="1:7" ht="12.75">
      <c r="A1" s="188" t="s">
        <v>162</v>
      </c>
      <c r="B1" s="188"/>
      <c r="C1" s="188"/>
      <c r="D1" s="188"/>
      <c r="E1" s="188"/>
      <c r="F1" s="138"/>
      <c r="G1" s="138"/>
    </row>
    <row r="2" spans="1:7" ht="12.75">
      <c r="A2" s="188"/>
      <c r="B2" s="188"/>
      <c r="C2" s="188"/>
      <c r="D2" s="188"/>
      <c r="E2" s="188"/>
      <c r="F2" s="138"/>
      <c r="G2" s="138"/>
    </row>
    <row r="3" ht="12.75"/>
    <row r="4" ht="12.75"/>
    <row r="5" ht="12.75" customHeight="1">
      <c r="C5" s="142" t="s">
        <v>139</v>
      </c>
    </row>
    <row r="6" spans="1:5" ht="12.75">
      <c r="A6" s="2" t="s">
        <v>9</v>
      </c>
      <c r="B6" s="2"/>
      <c r="C6" s="189"/>
      <c r="D6" s="190"/>
      <c r="E6" s="191"/>
    </row>
    <row r="7" spans="1:5" ht="12.75">
      <c r="A7" s="2"/>
      <c r="B7" s="5"/>
      <c r="C7" s="108" t="s">
        <v>78</v>
      </c>
      <c r="D7" s="36"/>
      <c r="E7" s="117" t="s">
        <v>12</v>
      </c>
    </row>
    <row r="8" spans="1:5" ht="12.75">
      <c r="A8" s="2"/>
      <c r="B8" s="5"/>
      <c r="C8" s="21" t="s">
        <v>79</v>
      </c>
      <c r="D8" s="98" t="s">
        <v>19</v>
      </c>
      <c r="E8" s="118">
        <f>+'Grad Income'!B27</f>
        <v>909.15</v>
      </c>
    </row>
    <row r="9" spans="1:6" ht="12.75">
      <c r="A9" s="7" t="s">
        <v>25</v>
      </c>
      <c r="B9" s="8"/>
      <c r="C9" s="22" t="s">
        <v>15</v>
      </c>
      <c r="D9" s="13" t="s">
        <v>27</v>
      </c>
      <c r="E9" s="136" t="s">
        <v>80</v>
      </c>
      <c r="F9" s="54"/>
    </row>
    <row r="10" spans="1:8" ht="12.75">
      <c r="A10" s="2" t="s">
        <v>34</v>
      </c>
      <c r="B10" s="2" t="s">
        <v>35</v>
      </c>
      <c r="C10" s="115">
        <v>25576.5</v>
      </c>
      <c r="D10" s="72">
        <f aca="true" t="shared" si="0" ref="D10:D25">+C10/$C$26</f>
        <v>0.03249280467919763</v>
      </c>
      <c r="E10" s="137">
        <f>+$E$8*D10</f>
        <v>29.540833374092525</v>
      </c>
      <c r="F10" s="54"/>
      <c r="H10" s="144"/>
    </row>
    <row r="11" spans="1:8" ht="12.75">
      <c r="A11" s="2" t="s">
        <v>36</v>
      </c>
      <c r="B11" s="2" t="s">
        <v>37</v>
      </c>
      <c r="C11" s="116">
        <f>176467-106000</f>
        <v>70467</v>
      </c>
      <c r="D11" s="89">
        <f t="shared" si="0"/>
        <v>0.08952243142451154</v>
      </c>
      <c r="E11" s="31">
        <f aca="true" t="shared" si="1" ref="E11:E25">+$E$8*D11</f>
        <v>81.38931852959466</v>
      </c>
      <c r="H11" s="144"/>
    </row>
    <row r="12" spans="1:8" ht="12.75">
      <c r="A12" s="2" t="s">
        <v>38</v>
      </c>
      <c r="B12" s="2" t="s">
        <v>39</v>
      </c>
      <c r="C12" s="116">
        <v>120402.5</v>
      </c>
      <c r="D12" s="89">
        <f t="shared" si="0"/>
        <v>0.15296130883377682</v>
      </c>
      <c r="E12" s="31">
        <f t="shared" si="1"/>
        <v>139.06477392622818</v>
      </c>
      <c r="H12" s="144"/>
    </row>
    <row r="13" spans="1:8" ht="12.75">
      <c r="A13" s="2" t="s">
        <v>40</v>
      </c>
      <c r="B13" s="2" t="s">
        <v>41</v>
      </c>
      <c r="C13" s="116">
        <v>100453</v>
      </c>
      <c r="D13" s="89">
        <f t="shared" si="0"/>
        <v>0.12761713715478817</v>
      </c>
      <c r="E13" s="31">
        <f t="shared" si="1"/>
        <v>116.02312024427566</v>
      </c>
      <c r="H13" s="144"/>
    </row>
    <row r="14" spans="1:8" ht="12.75">
      <c r="A14" s="2" t="s">
        <v>42</v>
      </c>
      <c r="B14" s="2" t="s">
        <v>43</v>
      </c>
      <c r="C14" s="116">
        <v>56418</v>
      </c>
      <c r="D14" s="89">
        <f t="shared" si="0"/>
        <v>0.07167435162711755</v>
      </c>
      <c r="E14" s="31">
        <f t="shared" si="1"/>
        <v>65.16273678179392</v>
      </c>
      <c r="H14" s="144"/>
    </row>
    <row r="15" spans="1:8" ht="12.75">
      <c r="A15" s="2" t="s">
        <v>44</v>
      </c>
      <c r="B15" s="2" t="s">
        <v>45</v>
      </c>
      <c r="C15" s="116">
        <v>3374</v>
      </c>
      <c r="D15" s="89">
        <f t="shared" si="0"/>
        <v>0.004286384884077681</v>
      </c>
      <c r="E15" s="31">
        <f t="shared" si="1"/>
        <v>3.8969668173592233</v>
      </c>
      <c r="H15" s="144"/>
    </row>
    <row r="16" spans="1:8" ht="12.75">
      <c r="A16" s="2" t="s">
        <v>46</v>
      </c>
      <c r="B16" s="2" t="s">
        <v>47</v>
      </c>
      <c r="C16" s="116">
        <v>1078</v>
      </c>
      <c r="D16" s="89">
        <f t="shared" si="0"/>
        <v>0.0013695088633775164</v>
      </c>
      <c r="E16" s="31">
        <f t="shared" si="1"/>
        <v>1.245088983139669</v>
      </c>
      <c r="H16" s="144"/>
    </row>
    <row r="17" spans="1:8" ht="12.75">
      <c r="A17" s="2" t="s">
        <v>48</v>
      </c>
      <c r="B17" s="2" t="s">
        <v>49</v>
      </c>
      <c r="C17" s="116">
        <v>78630</v>
      </c>
      <c r="D17" s="89">
        <f t="shared" si="0"/>
        <v>0.09989284037789806</v>
      </c>
      <c r="E17" s="31">
        <f t="shared" si="1"/>
        <v>90.81757582956601</v>
      </c>
      <c r="H17" s="144"/>
    </row>
    <row r="18" spans="1:8" ht="12.75">
      <c r="A18" s="2" t="s">
        <v>50</v>
      </c>
      <c r="B18" s="2" t="s">
        <v>51</v>
      </c>
      <c r="C18" s="54">
        <v>21490</v>
      </c>
      <c r="D18" s="89">
        <f t="shared" si="0"/>
        <v>0.02730124812057776</v>
      </c>
      <c r="E18" s="31">
        <f t="shared" si="1"/>
        <v>24.82092972882327</v>
      </c>
      <c r="H18" s="144"/>
    </row>
    <row r="19" spans="1:8" ht="12.75">
      <c r="A19" s="2" t="s">
        <v>52</v>
      </c>
      <c r="B19" s="2" t="s">
        <v>53</v>
      </c>
      <c r="C19" s="116">
        <v>5071</v>
      </c>
      <c r="D19" s="89">
        <f t="shared" si="0"/>
        <v>0.006442281489969745</v>
      </c>
      <c r="E19" s="31">
        <f t="shared" si="1"/>
        <v>5.857000216605993</v>
      </c>
      <c r="H19" s="144"/>
    </row>
    <row r="20" spans="1:8" ht="12.75">
      <c r="A20" s="18" t="s">
        <v>54</v>
      </c>
      <c r="B20" s="2" t="s">
        <v>55</v>
      </c>
      <c r="C20" s="116"/>
      <c r="D20" s="89">
        <f>+C20/$C$26</f>
        <v>0</v>
      </c>
      <c r="E20" s="31">
        <f t="shared" si="1"/>
        <v>0</v>
      </c>
      <c r="H20" s="144"/>
    </row>
    <row r="21" spans="1:8" ht="12.75">
      <c r="A21" s="2" t="s">
        <v>56</v>
      </c>
      <c r="B21" s="6" t="s">
        <v>57</v>
      </c>
      <c r="C21" s="48">
        <v>0</v>
      </c>
      <c r="D21" s="89">
        <f>+C21/$C$26</f>
        <v>0</v>
      </c>
      <c r="E21" s="31">
        <f t="shared" si="1"/>
        <v>0</v>
      </c>
      <c r="H21" s="144"/>
    </row>
    <row r="22" spans="1:8" ht="12.75">
      <c r="A22" s="2" t="s">
        <v>58</v>
      </c>
      <c r="B22" s="2" t="s">
        <v>59</v>
      </c>
      <c r="C22" s="54">
        <v>3836</v>
      </c>
      <c r="D22" s="89">
        <f>+C22/$C$26</f>
        <v>0.004873317254096616</v>
      </c>
      <c r="E22" s="31">
        <f t="shared" si="1"/>
        <v>4.430576381561939</v>
      </c>
      <c r="H22" s="144"/>
    </row>
    <row r="23" spans="1:8" ht="12.75">
      <c r="A23" s="2" t="s">
        <v>60</v>
      </c>
      <c r="B23" s="2" t="s">
        <v>61</v>
      </c>
      <c r="C23" s="116">
        <v>202849.5</v>
      </c>
      <c r="D23" s="89">
        <f>+C23/$C$26</f>
        <v>0.2577033285544504</v>
      </c>
      <c r="E23" s="31">
        <f t="shared" si="1"/>
        <v>234.29098115527856</v>
      </c>
      <c r="H23" s="144"/>
    </row>
    <row r="24" spans="1:8" ht="12.75">
      <c r="A24" s="18" t="s">
        <v>62</v>
      </c>
      <c r="B24" s="2" t="s">
        <v>63</v>
      </c>
      <c r="C24" s="54">
        <v>0</v>
      </c>
      <c r="D24" s="89">
        <f t="shared" si="0"/>
        <v>0</v>
      </c>
      <c r="E24" s="31">
        <f>+'Grad Income'!B24</f>
        <v>47.85</v>
      </c>
      <c r="H24" s="144"/>
    </row>
    <row r="25" spans="1:8" ht="12.75">
      <c r="A25" s="2" t="s">
        <v>64</v>
      </c>
      <c r="B25" s="2" t="s">
        <v>65</v>
      </c>
      <c r="C25" s="54">
        <v>97498</v>
      </c>
      <c r="D25" s="89">
        <f t="shared" si="0"/>
        <v>0.12386305673616056</v>
      </c>
      <c r="E25" s="121">
        <f t="shared" si="1"/>
        <v>112.61009803168037</v>
      </c>
      <c r="F25" s="132"/>
      <c r="H25" s="144"/>
    </row>
    <row r="26" spans="1:6" ht="12.75">
      <c r="A26" s="2" t="s">
        <v>66</v>
      </c>
      <c r="B26" s="2"/>
      <c r="C26" s="109">
        <f>SUM(C10:C25)</f>
        <v>787143.5</v>
      </c>
      <c r="D26" s="110">
        <f>SUM(D10:D25)</f>
        <v>0.9999999999999999</v>
      </c>
      <c r="E26" s="77">
        <f>SUM(E10:E25)</f>
        <v>957</v>
      </c>
      <c r="F26" s="80"/>
    </row>
  </sheetData>
  <sheetProtection/>
  <mergeCells count="3">
    <mergeCell ref="A1:E1"/>
    <mergeCell ref="A2:E2"/>
    <mergeCell ref="C6:E6"/>
  </mergeCells>
  <printOptions/>
  <pageMargins left="0.75" right="0.75" top="1" bottom="1" header="0.5" footer="0.5"/>
  <pageSetup fitToHeight="1" fitToWidth="1" horizontalDpi="600" verticalDpi="600" orientation="portrait" r:id="rId3"/>
  <headerFooter alignWithMargins="0">
    <oddHeader>&amp;C&amp;A</oddHeader>
    <oddFooter>&amp;CPage &amp;P</oddFooter>
  </headerFooter>
  <legacyDrawing r:id="rId2"/>
</worksheet>
</file>

<file path=xl/worksheets/sheet8.xml><?xml version="1.0" encoding="utf-8"?>
<worksheet xmlns="http://schemas.openxmlformats.org/spreadsheetml/2006/main" xmlns:r="http://schemas.openxmlformats.org/officeDocument/2006/relationships">
  <dimension ref="A2:G8"/>
  <sheetViews>
    <sheetView zoomScalePageLayoutView="0" workbookViewId="0" topLeftCell="A1">
      <selection activeCell="A1" sqref="A1"/>
    </sheetView>
  </sheetViews>
  <sheetFormatPr defaultColWidth="8.8515625" defaultRowHeight="12.75"/>
  <cols>
    <col min="1" max="1" width="11.00390625" style="1" bestFit="1" customWidth="1"/>
    <col min="2" max="2" width="8.7109375" style="1" bestFit="1" customWidth="1"/>
    <col min="3" max="3" width="8.8515625" style="1" customWidth="1"/>
    <col min="4" max="4" width="1.1484375" style="1" customWidth="1"/>
    <col min="5" max="5" width="8.8515625" style="1" customWidth="1"/>
    <col min="6" max="6" width="1.7109375" style="1" customWidth="1"/>
    <col min="7" max="16384" width="8.8515625" style="1" customWidth="1"/>
  </cols>
  <sheetData>
    <row r="1" ht="12.75"/>
    <row r="2" spans="2:5" ht="12.75">
      <c r="B2" s="113" t="s">
        <v>142</v>
      </c>
      <c r="C2" s="113" t="s">
        <v>156</v>
      </c>
      <c r="E2" s="1" t="s">
        <v>117</v>
      </c>
    </row>
    <row r="3" spans="2:7" ht="15">
      <c r="B3" s="178" t="s">
        <v>155</v>
      </c>
      <c r="C3" s="135" t="s">
        <v>157</v>
      </c>
      <c r="E3" s="100" t="s">
        <v>6</v>
      </c>
      <c r="G3" s="130" t="s">
        <v>118</v>
      </c>
    </row>
    <row r="4" spans="1:7" ht="12.75">
      <c r="A4" s="1" t="s">
        <v>158</v>
      </c>
      <c r="B4" s="1">
        <f>7485+162</f>
        <v>7647</v>
      </c>
      <c r="C4" s="1">
        <f>+B4*1.03</f>
        <v>7876.41</v>
      </c>
      <c r="E4" s="1">
        <f>162*1.03</f>
        <v>166.86</v>
      </c>
      <c r="G4" s="1">
        <f>+C4-E4</f>
        <v>7709.55</v>
      </c>
    </row>
    <row r="5" ht="12.75"/>
    <row r="6" spans="1:7" ht="15">
      <c r="A6" s="1" t="s">
        <v>159</v>
      </c>
      <c r="B6" s="100">
        <v>4304</v>
      </c>
      <c r="C6" s="100">
        <f>+B6*1.03</f>
        <v>4433.12</v>
      </c>
      <c r="G6" s="100">
        <f>+C6-E6</f>
        <v>4433.12</v>
      </c>
    </row>
    <row r="7" ht="12.75"/>
    <row r="8" spans="2:7" ht="12.75">
      <c r="B8" s="11">
        <f>+B4+B6</f>
        <v>11951</v>
      </c>
      <c r="C8" s="11">
        <f>+C4+C6</f>
        <v>12309.529999999999</v>
      </c>
      <c r="F8" s="11"/>
      <c r="G8" s="11">
        <f>+G4+G6</f>
        <v>12142.67</v>
      </c>
    </row>
  </sheetData>
  <sheetProtection/>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
    </sheetView>
  </sheetViews>
  <sheetFormatPr defaultColWidth="9.140625" defaultRowHeight="12.75"/>
  <cols>
    <col min="1" max="1" width="3.7109375" style="0" customWidth="1"/>
    <col min="2" max="2" width="20.28125" style="0" customWidth="1"/>
    <col min="3" max="4" width="11.421875" style="0" customWidth="1"/>
    <col min="5" max="5" width="1.28515625" style="0" customWidth="1"/>
    <col min="6" max="6" width="11.421875" style="0" customWidth="1"/>
  </cols>
  <sheetData>
    <row r="1" spans="3:7" ht="12.75">
      <c r="C1" s="1"/>
      <c r="D1" s="1"/>
      <c r="G1" s="76"/>
    </row>
    <row r="2" spans="3:7" ht="12.75">
      <c r="C2" s="1"/>
      <c r="D2" s="1"/>
      <c r="G2" s="76"/>
    </row>
    <row r="3" spans="3:7" ht="12.75">
      <c r="C3" s="1"/>
      <c r="D3" s="1"/>
      <c r="G3" s="76"/>
    </row>
    <row r="4" spans="3:7" ht="12.75">
      <c r="C4" s="1"/>
      <c r="D4" s="1"/>
      <c r="G4" s="76"/>
    </row>
    <row r="5" spans="3:7" ht="12.75">
      <c r="C5" s="1"/>
      <c r="D5" s="1"/>
      <c r="G5" s="76"/>
    </row>
    <row r="6" spans="3:7" ht="13.5" thickBot="1">
      <c r="C6" s="3" t="s">
        <v>161</v>
      </c>
      <c r="D6" s="4"/>
      <c r="E6" s="47"/>
      <c r="F6" s="50" t="s">
        <v>11</v>
      </c>
      <c r="G6" s="76"/>
    </row>
    <row r="7" spans="3:7" ht="13.5" thickTop="1">
      <c r="C7" s="15" t="s">
        <v>27</v>
      </c>
      <c r="D7" s="12" t="s">
        <v>6</v>
      </c>
      <c r="E7" s="48"/>
      <c r="F7" s="28" t="s">
        <v>81</v>
      </c>
      <c r="G7" s="76"/>
    </row>
    <row r="8" spans="3:7" ht="12.75">
      <c r="C8" s="15" t="s">
        <v>26</v>
      </c>
      <c r="D8" s="12" t="s">
        <v>82</v>
      </c>
      <c r="E8" s="48"/>
      <c r="F8" s="28" t="s">
        <v>82</v>
      </c>
      <c r="G8" s="76"/>
    </row>
    <row r="9" spans="1:7" ht="12.75">
      <c r="A9" s="7" t="s">
        <v>25</v>
      </c>
      <c r="B9" s="8"/>
      <c r="C9" s="16" t="s">
        <v>83</v>
      </c>
      <c r="D9" s="13" t="s">
        <v>84</v>
      </c>
      <c r="E9" s="49"/>
      <c r="F9" s="30" t="s">
        <v>26</v>
      </c>
      <c r="G9" s="76"/>
    </row>
    <row r="10" spans="1:7" ht="12.75">
      <c r="A10" s="2" t="s">
        <v>34</v>
      </c>
      <c r="B10" s="2" t="s">
        <v>35</v>
      </c>
      <c r="C10" s="51"/>
      <c r="D10" s="52"/>
      <c r="F10" s="32"/>
      <c r="G10" s="55"/>
    </row>
    <row r="11" spans="1:7" ht="12.75">
      <c r="A11" s="2" t="s">
        <v>36</v>
      </c>
      <c r="B11" s="2" t="s">
        <v>37</v>
      </c>
      <c r="C11" s="54"/>
      <c r="D11" s="55"/>
      <c r="F11" s="32"/>
      <c r="G11" s="55"/>
    </row>
    <row r="12" spans="1:7" ht="12.75">
      <c r="A12" s="2" t="s">
        <v>38</v>
      </c>
      <c r="B12" s="2" t="s">
        <v>39</v>
      </c>
      <c r="C12" s="54"/>
      <c r="D12" s="55"/>
      <c r="F12" s="32"/>
      <c r="G12" s="55"/>
    </row>
    <row r="13" spans="1:7" ht="12.75">
      <c r="A13" s="2" t="s">
        <v>40</v>
      </c>
      <c r="B13" s="2" t="s">
        <v>41</v>
      </c>
      <c r="C13" s="54"/>
      <c r="D13" s="55"/>
      <c r="F13" s="32"/>
      <c r="G13" s="55"/>
    </row>
    <row r="14" spans="1:7" ht="12.75">
      <c r="A14" s="2" t="s">
        <v>42</v>
      </c>
      <c r="B14" s="2" t="s">
        <v>43</v>
      </c>
      <c r="C14" s="54"/>
      <c r="D14" s="55"/>
      <c r="F14" s="32"/>
      <c r="G14" s="55"/>
    </row>
    <row r="15" spans="1:7" ht="12.75">
      <c r="A15" s="2" t="s">
        <v>44</v>
      </c>
      <c r="B15" s="2" t="s">
        <v>45</v>
      </c>
      <c r="C15" s="54"/>
      <c r="D15" s="55"/>
      <c r="F15" s="32"/>
      <c r="G15" s="55"/>
    </row>
    <row r="16" spans="1:7" ht="12.75">
      <c r="A16" s="2" t="s">
        <v>46</v>
      </c>
      <c r="B16" s="2" t="s">
        <v>47</v>
      </c>
      <c r="C16" s="54">
        <f>+'Prof Income'!G4</f>
        <v>7709.55</v>
      </c>
      <c r="D16" s="55">
        <f>(+'Prof Income'!E4)-D24</f>
        <v>158.51000000000002</v>
      </c>
      <c r="F16" s="111">
        <f>+C16+D16</f>
        <v>7868.06</v>
      </c>
      <c r="G16" s="76"/>
    </row>
    <row r="17" spans="1:7" ht="12.75">
      <c r="A17" s="2" t="s">
        <v>48</v>
      </c>
      <c r="B17" s="2" t="s">
        <v>49</v>
      </c>
      <c r="C17" s="54"/>
      <c r="D17" s="55"/>
      <c r="F17" s="32"/>
      <c r="G17" s="76"/>
    </row>
    <row r="18" spans="1:7" ht="12.75">
      <c r="A18" s="2" t="s">
        <v>50</v>
      </c>
      <c r="B18" s="2" t="s">
        <v>51</v>
      </c>
      <c r="C18" s="54"/>
      <c r="D18" s="55"/>
      <c r="F18" s="32"/>
      <c r="G18" s="76"/>
    </row>
    <row r="19" spans="1:7" ht="12.75">
      <c r="A19" s="2" t="s">
        <v>52</v>
      </c>
      <c r="B19" s="2" t="s">
        <v>53</v>
      </c>
      <c r="C19" s="54">
        <f>+'Prof Income'!G6</f>
        <v>4433.12</v>
      </c>
      <c r="D19" s="55"/>
      <c r="F19" s="111">
        <f>+C19+D19</f>
        <v>4433.12</v>
      </c>
      <c r="G19" s="76"/>
    </row>
    <row r="20" spans="1:7" ht="12.75">
      <c r="A20" s="18" t="s">
        <v>54</v>
      </c>
      <c r="B20" s="2" t="s">
        <v>55</v>
      </c>
      <c r="C20" s="54"/>
      <c r="D20" s="55"/>
      <c r="F20" s="32"/>
      <c r="G20" s="55"/>
    </row>
    <row r="21" spans="1:7" ht="12.75">
      <c r="A21" s="2" t="s">
        <v>56</v>
      </c>
      <c r="B21" s="2" t="s">
        <v>57</v>
      </c>
      <c r="C21" s="54"/>
      <c r="D21" s="55"/>
      <c r="F21" s="32"/>
      <c r="G21" s="55"/>
    </row>
    <row r="22" spans="1:7" ht="12.75">
      <c r="A22" s="2" t="s">
        <v>58</v>
      </c>
      <c r="B22" s="2" t="s">
        <v>59</v>
      </c>
      <c r="C22" s="54"/>
      <c r="D22" s="55"/>
      <c r="F22" s="32"/>
      <c r="G22" s="55"/>
    </row>
    <row r="23" spans="1:7" ht="12.75">
      <c r="A23" s="2" t="s">
        <v>60</v>
      </c>
      <c r="B23" s="2" t="s">
        <v>61</v>
      </c>
      <c r="C23" s="54"/>
      <c r="D23" s="55"/>
      <c r="F23" s="32"/>
      <c r="G23" s="55"/>
    </row>
    <row r="24" spans="1:7" ht="12.75">
      <c r="A24" s="18" t="s">
        <v>62</v>
      </c>
      <c r="B24" s="2" t="s">
        <v>63</v>
      </c>
      <c r="C24" s="54"/>
      <c r="D24" s="55">
        <f>167*0.05</f>
        <v>8.35</v>
      </c>
      <c r="F24" s="111">
        <f>+C24+D24</f>
        <v>8.35</v>
      </c>
      <c r="G24" s="55"/>
    </row>
    <row r="25" spans="1:7" ht="12.75">
      <c r="A25" s="2" t="s">
        <v>64</v>
      </c>
      <c r="B25" s="2" t="s">
        <v>65</v>
      </c>
      <c r="C25" s="54"/>
      <c r="D25" s="55"/>
      <c r="F25" s="32"/>
      <c r="G25" s="55"/>
    </row>
    <row r="26" spans="1:7" ht="12.75">
      <c r="A26" s="2" t="s">
        <v>66</v>
      </c>
      <c r="B26" s="2"/>
      <c r="C26" s="57">
        <f>SUM(C10:C25)</f>
        <v>12142.67</v>
      </c>
      <c r="D26" s="58">
        <f>SUM(D10:D25)</f>
        <v>166.86</v>
      </c>
      <c r="E26" s="92"/>
      <c r="F26" s="77">
        <f>SUM(F10:F25)</f>
        <v>12309.53</v>
      </c>
      <c r="G26" s="55"/>
    </row>
    <row r="27" spans="3:7" ht="12.75">
      <c r="C27" s="1"/>
      <c r="D27" s="1"/>
      <c r="G27" s="112"/>
    </row>
  </sheetData>
  <sheetProtection/>
  <printOptions/>
  <pageMargins left="0.75" right="0.75" top="1" bottom="1" header="0.5" footer="0.5"/>
  <pageSetup horizontalDpi="600" verticalDpi="600" orientation="portrait" r:id="rId1"/>
  <headerFooter alignWithMargins="0">
    <oddHeader>&amp;C&amp;A--FY03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University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Distribution of Tuition Income - FY 03</dc:title>
  <dc:subject/>
  <dc:creator>OBFS Budgeting - University of Illinois</dc:creator>
  <cp:keywords>2003, tuition, income, distribution, budget, reform, budgeting, calculations, planning, urbana-champaign</cp:keywords>
  <dc:description/>
  <cp:lastModifiedBy>OBFS</cp:lastModifiedBy>
  <cp:lastPrinted>2002-07-01T15:44:47Z</cp:lastPrinted>
  <dcterms:created xsi:type="dcterms:W3CDTF">1998-05-29T22:12:12Z</dcterms:created>
  <dcterms:modified xsi:type="dcterms:W3CDTF">2011-01-21T20:20:15Z</dcterms:modified>
  <cp:category/>
  <cp:version/>
  <cp:contentType/>
  <cp:contentStatus/>
</cp:coreProperties>
</file>