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25" yWindow="65491" windowWidth="5925" windowHeight="6600" tabRatio="823" activeTab="0"/>
  </bookViews>
  <sheets>
    <sheet name="Table of Contents" sheetId="1" r:id="rId1"/>
    <sheet name="Undergrad Income" sheetId="2" r:id="rId2"/>
    <sheet name="UG Distribution" sheetId="3" r:id="rId3"/>
    <sheet name="UG Summer" sheetId="4" r:id="rId4"/>
    <sheet name="Grad Income" sheetId="5" r:id="rId5"/>
    <sheet name="Grad Distribution" sheetId="6" r:id="rId6"/>
    <sheet name="Grad Summer" sheetId="7" r:id="rId7"/>
    <sheet name="Prof Income" sheetId="8" r:id="rId8"/>
    <sheet name="Prof. Tuition" sheetId="9" r:id="rId9"/>
    <sheet name="Extramural" sheetId="10" r:id="rId10"/>
    <sheet name="Total Tuition" sheetId="11" r:id="rId11"/>
    <sheet name="Compare with Prior" sheetId="12" r:id="rId12"/>
  </sheets>
  <definedNames>
    <definedName name="_xlnm.Print_Area" localSheetId="10">'Total Tuition'!$A:$IV</definedName>
  </definedNames>
  <calcPr fullCalcOnLoad="1"/>
</workbook>
</file>

<file path=xl/comments10.xml><?xml version="1.0" encoding="utf-8"?>
<comments xmlns="http://schemas.openxmlformats.org/spreadsheetml/2006/main">
  <authors>
    <author>Mike Andrechak</author>
  </authors>
  <commentList>
    <comment ref="C25" authorId="0">
      <text>
        <r>
          <rPr>
            <b/>
            <sz val="8"/>
            <rFont val="Tahoma"/>
            <family val="0"/>
          </rPr>
          <t>Mike Andrechak:</t>
        </r>
        <r>
          <rPr>
            <sz val="8"/>
            <rFont val="Tahoma"/>
            <family val="0"/>
          </rPr>
          <t xml:space="preserve">
731364 FY00 earnings</t>
        </r>
      </text>
    </comment>
    <comment ref="F25" authorId="0">
      <text>
        <r>
          <rPr>
            <b/>
            <sz val="8"/>
            <rFont val="Tahoma"/>
            <family val="0"/>
          </rPr>
          <t>Mike Andrechak:</t>
        </r>
        <r>
          <rPr>
            <sz val="8"/>
            <rFont val="Tahoma"/>
            <family val="0"/>
          </rPr>
          <t xml:space="preserve">
FY01*1.05
</t>
        </r>
      </text>
    </comment>
  </commentList>
</comments>
</file>

<file path=xl/comments11.xml><?xml version="1.0" encoding="utf-8"?>
<comments xmlns="http://schemas.openxmlformats.org/spreadsheetml/2006/main">
  <authors>
    <author>Mike Andrechak</author>
  </authors>
  <commentList>
    <comment ref="U11" authorId="0">
      <text>
        <r>
          <rPr>
            <sz val="8"/>
            <rFont val="Tahoma"/>
            <family val="2"/>
          </rPr>
          <t>984 students * Avg</t>
        </r>
        <r>
          <rPr>
            <sz val="8"/>
            <rFont val="Tahoma"/>
            <family val="0"/>
          </rPr>
          <t xml:space="preserve">
tuit per hdct.  Last year, 777 students.  Line 404 of the campus profile for CBA
</t>
        </r>
      </text>
    </comment>
  </commentList>
</comments>
</file>

<file path=xl/comments2.xml><?xml version="1.0" encoding="utf-8"?>
<comments xmlns="http://schemas.openxmlformats.org/spreadsheetml/2006/main">
  <authors>
    <author>phoey</author>
  </authors>
  <commentList>
    <comment ref="C10" authorId="0">
      <text>
        <r>
          <rPr>
            <b/>
            <sz val="8"/>
            <rFont val="Tahoma"/>
            <family val="0"/>
          </rPr>
          <t>phoey:</t>
        </r>
        <r>
          <rPr>
            <sz val="8"/>
            <rFont val="Tahoma"/>
            <family val="0"/>
          </rPr>
          <t xml:space="preserve">
$3,282 SumII + 691 SumI</t>
        </r>
      </text>
    </comment>
  </commentList>
</comments>
</file>

<file path=xl/comments6.xml><?xml version="1.0" encoding="utf-8"?>
<comments xmlns="http://schemas.openxmlformats.org/spreadsheetml/2006/main">
  <authors>
    <author>Mike Andrechak</author>
  </authors>
  <commentList>
    <comment ref="K11" authorId="0">
      <text>
        <r>
          <rPr>
            <sz val="8"/>
            <rFont val="Tahoma"/>
            <family val="0"/>
          </rPr>
          <t xml:space="preserve">MBA &amp; Self Suppt est + 5% tuiton increase; these numbers will be adjusted after spring numbers are available
</t>
        </r>
      </text>
    </comment>
    <comment ref="B28" authorId="0">
      <text>
        <r>
          <rPr>
            <b/>
            <sz val="8"/>
            <rFont val="Tahoma"/>
            <family val="0"/>
          </rPr>
          <t xml:space="preserve">
 These amounts are removed from the CBA line above.
</t>
        </r>
        <r>
          <rPr>
            <sz val="8"/>
            <rFont val="Tahoma"/>
            <family val="0"/>
          </rPr>
          <t xml:space="preserve">
</t>
        </r>
      </text>
    </comment>
  </commentList>
</comments>
</file>

<file path=xl/sharedStrings.xml><?xml version="1.0" encoding="utf-8"?>
<sst xmlns="http://schemas.openxmlformats.org/spreadsheetml/2006/main" count="478" uniqueCount="165">
  <si>
    <t>Less Differential Tuition</t>
  </si>
  <si>
    <t>Plus Value of Undergrad Assistants</t>
  </si>
  <si>
    <t>Income to be distributed</t>
  </si>
  <si>
    <t>Portion based on enrollment</t>
  </si>
  <si>
    <t>Portion based on IUs</t>
  </si>
  <si>
    <t>DISTRIBUTION OF SUMMER TUITION</t>
  </si>
  <si>
    <t>Summer</t>
  </si>
  <si>
    <t>Less Summer Session Ofc.</t>
  </si>
  <si>
    <t>Amt. to be Distributed</t>
  </si>
  <si>
    <t xml:space="preserve"> </t>
  </si>
  <si>
    <t>IU Distribution</t>
  </si>
  <si>
    <t>Ac Year</t>
  </si>
  <si>
    <t>Distribute</t>
  </si>
  <si>
    <t>Program</t>
  </si>
  <si>
    <t>Differentials</t>
  </si>
  <si>
    <t>Waivers</t>
  </si>
  <si>
    <t>Undergrad</t>
  </si>
  <si>
    <t>Average</t>
  </si>
  <si>
    <t>Regular</t>
  </si>
  <si>
    <t>% of</t>
  </si>
  <si>
    <t>Differ-</t>
  </si>
  <si>
    <t>in</t>
  </si>
  <si>
    <t xml:space="preserve">From </t>
  </si>
  <si>
    <t>Assistants</t>
  </si>
  <si>
    <t>IU's</t>
  </si>
  <si>
    <t>College</t>
  </si>
  <si>
    <t>Tuition</t>
  </si>
  <si>
    <t>Total</t>
  </si>
  <si>
    <t>Reg Tuition</t>
  </si>
  <si>
    <t>entials</t>
  </si>
  <si>
    <t>(000)'s</t>
  </si>
  <si>
    <t>Campus</t>
  </si>
  <si>
    <t>in (000)'s</t>
  </si>
  <si>
    <t>by IU's</t>
  </si>
  <si>
    <t>15</t>
  </si>
  <si>
    <t>AGR, CONSUMER, &amp; ENV</t>
  </si>
  <si>
    <t>17</t>
  </si>
  <si>
    <t>COMMERCE &amp; BUSINESS</t>
  </si>
  <si>
    <t>20</t>
  </si>
  <si>
    <t>EDUCATION</t>
  </si>
  <si>
    <t>22</t>
  </si>
  <si>
    <t>ENGINEERING</t>
  </si>
  <si>
    <t>24</t>
  </si>
  <si>
    <t>FINE &amp; APPLIED ARTS</t>
  </si>
  <si>
    <t>28</t>
  </si>
  <si>
    <t>COLLEGE OF COMMUNICA</t>
  </si>
  <si>
    <t>30</t>
  </si>
  <si>
    <t>LAW</t>
  </si>
  <si>
    <t>32</t>
  </si>
  <si>
    <t>LIBERAL ARTS &amp; SCIEN</t>
  </si>
  <si>
    <t>36</t>
  </si>
  <si>
    <t>APPLIED LIFE STUDIES</t>
  </si>
  <si>
    <t>44</t>
  </si>
  <si>
    <t>VETERINARY MEDICINE</t>
  </si>
  <si>
    <t>50</t>
  </si>
  <si>
    <t>ARMED FORCES</t>
  </si>
  <si>
    <t>52</t>
  </si>
  <si>
    <t>INSTITUTE OF AVIATIO</t>
  </si>
  <si>
    <t>60</t>
  </si>
  <si>
    <t>LABOR &amp; INDUSTRIAL R</t>
  </si>
  <si>
    <t>68</t>
  </si>
  <si>
    <t>SCHOOL OF SOCIAL WOR</t>
  </si>
  <si>
    <t>73</t>
  </si>
  <si>
    <t>CEPS</t>
  </si>
  <si>
    <t>74</t>
  </si>
  <si>
    <t>LIBRARY &amp; INFORMATIO</t>
  </si>
  <si>
    <t>ALL</t>
  </si>
  <si>
    <t>Graduate</t>
  </si>
  <si>
    <t>Estimated Summer Income</t>
  </si>
  <si>
    <t>Less CEPS</t>
  </si>
  <si>
    <t>%</t>
  </si>
  <si>
    <t>&amp; Regular</t>
  </si>
  <si>
    <t>From</t>
  </si>
  <si>
    <t>of</t>
  </si>
  <si>
    <t>Self-Suppt</t>
  </si>
  <si>
    <t>less Waivers</t>
  </si>
  <si>
    <t>Reg. Tuition</t>
  </si>
  <si>
    <t>Programs</t>
  </si>
  <si>
    <t>Summ. Tuition</t>
  </si>
  <si>
    <t>Net of</t>
  </si>
  <si>
    <t xml:space="preserve"> Tuition</t>
  </si>
  <si>
    <t>and Summ.</t>
  </si>
  <si>
    <t>Session</t>
  </si>
  <si>
    <t>in Budget</t>
  </si>
  <si>
    <t>Share</t>
  </si>
  <si>
    <t>TOTAL</t>
  </si>
  <si>
    <t>COMBINED</t>
  </si>
  <si>
    <t>AVG.</t>
  </si>
  <si>
    <t>EXTRAMURAL</t>
  </si>
  <si>
    <t>INCOME</t>
  </si>
  <si>
    <t>STIPENDS</t>
  </si>
  <si>
    <t>NET</t>
  </si>
  <si>
    <t>NET INCOME</t>
  </si>
  <si>
    <t>(000)</t>
  </si>
  <si>
    <t>Correspond.</t>
  </si>
  <si>
    <t>&amp; CORRESP.</t>
  </si>
  <si>
    <t>Undergraduate Tuition</t>
  </si>
  <si>
    <t>Graduate Tuition</t>
  </si>
  <si>
    <t>Based</t>
  </si>
  <si>
    <t>Self-</t>
  </si>
  <si>
    <t>Budgeted</t>
  </si>
  <si>
    <t>Corespond. &amp;</t>
  </si>
  <si>
    <t>on College</t>
  </si>
  <si>
    <t>Differential</t>
  </si>
  <si>
    <t>Based on</t>
  </si>
  <si>
    <t>Less UG</t>
  </si>
  <si>
    <t>Total UG</t>
  </si>
  <si>
    <t>Supporting</t>
  </si>
  <si>
    <t>Professional</t>
  </si>
  <si>
    <t>Extramural</t>
  </si>
  <si>
    <t>of Enrollment</t>
  </si>
  <si>
    <t>programs</t>
  </si>
  <si>
    <t>Income</t>
  </si>
  <si>
    <t>Avg. two prior years</t>
  </si>
  <si>
    <t>Less Summer session</t>
  </si>
  <si>
    <t>LAS/CBA</t>
  </si>
  <si>
    <t>Econ</t>
  </si>
  <si>
    <t>less</t>
  </si>
  <si>
    <t>Net</t>
  </si>
  <si>
    <t>FY00</t>
  </si>
  <si>
    <t>Additional</t>
  </si>
  <si>
    <t>Eng &amp; LAS</t>
  </si>
  <si>
    <t>Distribution of Tuition Income</t>
  </si>
  <si>
    <t>This file contains 9 spreadsheets which are used to determine the distribution of tuition income to colleges using Budget Reform rules.  Use the tabs at the bottom of the page to access the spreadsheets.</t>
  </si>
  <si>
    <t>The worksheets:</t>
  </si>
  <si>
    <t>Fifty percent of UG income is distributed on the basis of IUs.  Again, the source of the IU data is  DMI.  Source data is available both on their and OBA's web sites.  Each college receives income based on its share of total IUs.</t>
  </si>
  <si>
    <t>This sheet also contains the distribution of differential tuition income.  The average of the prior two years is used as the amount to be distributed.  Special adjustments are made for increases in differential tuition.</t>
  </si>
  <si>
    <t>IUs</t>
  </si>
  <si>
    <r>
      <t>UG Summer</t>
    </r>
    <r>
      <rPr>
        <sz val="10"/>
        <rFont val="Arial"/>
        <family val="0"/>
      </rPr>
      <t>.  Estimated UG summer income is distributed based on the average IUs for the two prior summers.</t>
    </r>
  </si>
  <si>
    <r>
      <t>Grad Summer.</t>
    </r>
    <r>
      <rPr>
        <sz val="10"/>
        <rFont val="Arial"/>
        <family val="0"/>
      </rPr>
      <t xml:space="preserve">  Projected income is distributed based on each colleges share of net income for the prior two summers.</t>
    </r>
  </si>
  <si>
    <r>
      <t>Total Tuition.</t>
    </r>
    <r>
      <rPr>
        <sz val="10"/>
        <rFont val="Arial"/>
        <family val="0"/>
      </rPr>
      <t xml:space="preserve">  This table provides a summary of tuition distributions from the previous worksheets in this file.</t>
    </r>
  </si>
  <si>
    <r>
      <t>Grad Distribution.</t>
    </r>
    <r>
      <rPr>
        <sz val="10"/>
        <rFont val="Arial"/>
        <family val="0"/>
      </rPr>
      <t xml:space="preserve">  This sheet is used to determine the amount of graduate income received by colleges.  Projected income is distributed based on each colleges share of net tuition revenue.  Net revenue is determined by averaging the two prior years of academic year tuition assessments for both regular and differential tuition.  The value of waivers is then subtracted from  assessments, leaving the net or collected tuition.  MBA and self-supporting programs are removed from these numbers, since actual earnings, in the year that they are received, are assigned to those programs.  For other all other programs, estimated income is distributed based on each colleges share of net tuition.</t>
    </r>
  </si>
  <si>
    <r>
      <t>Prof Income.</t>
    </r>
    <r>
      <rPr>
        <sz val="10"/>
        <rFont val="Arial"/>
        <family val="0"/>
      </rPr>
      <t xml:space="preserve">  Current year professional income is increased by the percentage increase for tuition, resulting in the estimated income for the coming year.  Actual earnings will be compare to projections and budgets will be accordingly adjusted during the spring semester.</t>
    </r>
  </si>
  <si>
    <r>
      <t>Prof Tuition.</t>
    </r>
    <r>
      <rPr>
        <sz val="10"/>
        <rFont val="Arial"/>
        <family val="0"/>
      </rPr>
      <t xml:space="preserve">  This table shows the assignment of professional tuition to Law and VM.</t>
    </r>
  </si>
  <si>
    <r>
      <t xml:space="preserve">Extramural. </t>
    </r>
    <r>
      <rPr>
        <sz val="10"/>
        <rFont val="Arial"/>
        <family val="0"/>
      </rPr>
      <t xml:space="preserve"> Extramural income, less stipends paid by CEPS, is shown for the prior years.  The average of these years is distributed by college.  Data for this table is provided by the CEPS Division of Academic Outreach.</t>
    </r>
  </si>
  <si>
    <t>FY01</t>
  </si>
  <si>
    <t>Graduate--Avg. of FY99 &amp; FY00</t>
  </si>
  <si>
    <t>DISTRIBUTION OF ACADEMIC YEAR TUITION-FY01</t>
  </si>
  <si>
    <t xml:space="preserve">  FY00 X 1.05</t>
  </si>
  <si>
    <t>105%</t>
  </si>
  <si>
    <t>FY99&amp; FY00 AVG.</t>
  </si>
  <si>
    <r>
      <t>Undergrad Income</t>
    </r>
    <r>
      <rPr>
        <sz val="10"/>
        <rFont val="Arial"/>
        <family val="0"/>
      </rPr>
      <t xml:space="preserve">.  This worksheet is used to determine how much of projected FY01 undergraduate tuition will be available for distribution on the basis of IUs and tuition collections.  Special tuition items, such as tuition differentials, are also noted on that page.  </t>
    </r>
  </si>
  <si>
    <r>
      <t>UG Distribution.</t>
    </r>
    <r>
      <rPr>
        <sz val="10"/>
        <rFont val="Arial"/>
        <family val="0"/>
      </rPr>
      <t xml:space="preserve"> After removing tuition differentials, 50% of UG tuition is distributed on the basis of each colleges share of tuition collections and 50% is distributed on the basis of each colleges share of IUs  generated. The original Budget Reform plan was  to distribute 50% of the income on the basis of enrollment.  This distribution was also to take into account the tuition range and the residency status of the student.  To simplify this distribution, tuition assessments are used as a surrogate for enrollment since they reflect the residency status and range of the student.  Tuition assessment data for the prior two years was provided by DMI and is available both on their web site and on the OBA Budget Reform web site.  The tuition file on the OBA site combines the FY99 and FY00 data by college and then provides an average.  Each colleges share of assessed tuition is used as the basis for distributing this portion of income.  If a college has 3.6% of the UG assessments, it will receive 3.6% of the income distributed in this fashion.</t>
    </r>
  </si>
  <si>
    <r>
      <t>Grad Income</t>
    </r>
    <r>
      <rPr>
        <sz val="10"/>
        <rFont val="Arial"/>
        <family val="0"/>
      </rPr>
      <t>.  This sheet shows the estimated FY01 graduate tuition income and, from that amount, removes summer income, new differential income, and self-supporting programs.  The remainder is available for distribution.</t>
    </r>
  </si>
  <si>
    <t>FY01 Est. Tuition</t>
  </si>
  <si>
    <t>2-Year</t>
  </si>
  <si>
    <t>DISTRIBUTION OF UNDERGRADUATE TUITION--FY02</t>
  </si>
  <si>
    <t>updated</t>
  </si>
  <si>
    <t>Change</t>
  </si>
  <si>
    <t>FY02-01</t>
  </si>
  <si>
    <t>FY02</t>
  </si>
  <si>
    <t>Tuition Generation By College</t>
  </si>
  <si>
    <t>FY01 vs. FY02--in FY01 Dollars</t>
  </si>
  <si>
    <t>FY01 Distibution</t>
  </si>
  <si>
    <t>FY02 Tuition increment (5%)</t>
  </si>
  <si>
    <t>FY01 Overrealization</t>
  </si>
  <si>
    <t>Less 28% on 2% increment</t>
  </si>
  <si>
    <t>MBA Program      2000</t>
  </si>
  <si>
    <t>FY01 Distribution</t>
  </si>
  <si>
    <t>Increment (5%)</t>
  </si>
  <si>
    <t>Overrealization</t>
  </si>
  <si>
    <t>Amount to distribute</t>
  </si>
  <si>
    <t>Law (est 01)</t>
  </si>
  <si>
    <t>VM (est 01)</t>
  </si>
  <si>
    <t>FY02 Allocation of Graduate Summer Tuition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</si>
</sst>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quot;$&quot;* #,##0.0_);_(&quot;$&quot;* \(#,##0.0\);_(&quot;$&quot;* &quot;-&quot;??_);_(@_)"/>
    <numFmt numFmtId="168" formatCode="_(&quot;$&quot;* #,##0_);_(&quot;$&quot;* \(#,##0\);_(&quot;$&quot;* &quot;-&quot;??_);_(@_)"/>
    <numFmt numFmtId="169" formatCode="_(&quot;$&quot;* #,##0.000_);_(&quot;$&quot;* \(#,##0.000\);_(&quot;$&quot;* &quot;-&quot;??_);_(@_)"/>
    <numFmt numFmtId="170" formatCode="_(&quot;$&quot;* #,##0.0000_);_(&quot;$&quot;* \(#,##0.0000\);_(&quot;$&quot;* &quot;-&quot;??_);_(@_)"/>
    <numFmt numFmtId="171" formatCode="_(* #,##0.000_);_(* \(#,##0.000\);_(* &quot;-&quot;??_);_(@_)"/>
    <numFmt numFmtId="172" formatCode="_(* #,##0.0000_);_(* \(#,##0.0000\);_(* &quot;-&quot;??_);_(@_)"/>
    <numFmt numFmtId="173" formatCode="0.0"/>
    <numFmt numFmtId="174" formatCode="0.000"/>
    <numFmt numFmtId="175" formatCode="0.0000"/>
    <numFmt numFmtId="176" formatCode="0.00000"/>
    <numFmt numFmtId="177" formatCode="0.0000000000000"/>
    <numFmt numFmtId="178" formatCode="0.000000"/>
    <numFmt numFmtId="179" formatCode="0.000%"/>
    <numFmt numFmtId="180" formatCode="0.0000%"/>
    <numFmt numFmtId="181" formatCode="0.00000%"/>
    <numFmt numFmtId="182" formatCode="0.000000%"/>
  </numFmts>
  <fonts count="43">
    <font>
      <sz val="10"/>
      <name val="Arial"/>
      <family val="0"/>
    </font>
    <font>
      <b/>
      <sz val="10"/>
      <name val="Arial"/>
      <family val="0"/>
    </font>
    <font>
      <i/>
      <sz val="10"/>
      <name val="Arial"/>
      <family val="0"/>
    </font>
    <font>
      <b/>
      <i/>
      <sz val="10"/>
      <name val="Arial"/>
      <family val="0"/>
    </font>
    <font>
      <sz val="8"/>
      <name val="Arial"/>
      <family val="2"/>
    </font>
    <font>
      <u val="singleAccounting"/>
      <sz val="10"/>
      <name val="Arial"/>
      <family val="2"/>
    </font>
    <font>
      <sz val="8"/>
      <name val="Tahoma"/>
      <family val="2"/>
    </font>
    <font>
      <b/>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6">
    <xf numFmtId="0" fontId="0" fillId="0" borderId="0" xfId="0" applyAlignment="1">
      <alignment/>
    </xf>
    <xf numFmtId="164" fontId="0" fillId="0" borderId="0" xfId="42" applyNumberFormat="1" applyFont="1" applyAlignment="1">
      <alignment/>
    </xf>
    <xf numFmtId="164" fontId="4" fillId="0" borderId="0" xfId="42" applyNumberFormat="1" applyFont="1" applyAlignment="1">
      <alignment/>
    </xf>
    <xf numFmtId="164" fontId="4" fillId="0" borderId="10" xfId="42" applyNumberFormat="1" applyFont="1" applyBorder="1" applyAlignment="1">
      <alignment horizontal="centerContinuous"/>
    </xf>
    <xf numFmtId="164" fontId="4" fillId="0" borderId="11" xfId="42" applyNumberFormat="1" applyFont="1" applyBorder="1" applyAlignment="1">
      <alignment horizontal="centerContinuous"/>
    </xf>
    <xf numFmtId="164" fontId="4" fillId="0" borderId="12" xfId="42" applyNumberFormat="1" applyFont="1" applyBorder="1" applyAlignment="1">
      <alignment/>
    </xf>
    <xf numFmtId="164" fontId="4" fillId="0" borderId="0" xfId="42" applyNumberFormat="1" applyFont="1" applyBorder="1" applyAlignment="1">
      <alignment/>
    </xf>
    <xf numFmtId="164" fontId="4" fillId="0" borderId="13" xfId="42" applyNumberFormat="1" applyFont="1" applyBorder="1" applyAlignment="1">
      <alignment/>
    </xf>
    <xf numFmtId="164" fontId="4" fillId="0" borderId="14" xfId="42" applyNumberFormat="1" applyFont="1" applyBorder="1" applyAlignment="1">
      <alignment/>
    </xf>
    <xf numFmtId="165" fontId="0" fillId="0" borderId="0" xfId="57" applyNumberFormat="1" applyFont="1" applyAlignment="1">
      <alignment/>
    </xf>
    <xf numFmtId="164" fontId="1" fillId="0" borderId="0" xfId="42" applyNumberFormat="1" applyFont="1" applyAlignment="1">
      <alignment/>
    </xf>
    <xf numFmtId="168" fontId="0" fillId="0" borderId="0" xfId="44" applyNumberFormat="1" applyFont="1" applyAlignment="1">
      <alignment/>
    </xf>
    <xf numFmtId="164" fontId="4" fillId="0" borderId="0" xfId="42" applyNumberFormat="1" applyFont="1" applyBorder="1" applyAlignment="1">
      <alignment horizontal="center"/>
    </xf>
    <xf numFmtId="164" fontId="4" fillId="0" borderId="13" xfId="42" applyNumberFormat="1" applyFont="1" applyBorder="1" applyAlignment="1">
      <alignment horizontal="center"/>
    </xf>
    <xf numFmtId="164" fontId="4" fillId="0" borderId="12" xfId="42" applyNumberFormat="1" applyFont="1" applyBorder="1" applyAlignment="1">
      <alignment horizontal="center"/>
    </xf>
    <xf numFmtId="164" fontId="4" fillId="0" borderId="15" xfId="42" applyNumberFormat="1" applyFont="1" applyBorder="1" applyAlignment="1">
      <alignment horizontal="center"/>
    </xf>
    <xf numFmtId="164" fontId="4" fillId="0" borderId="16" xfId="42" applyNumberFormat="1" applyFont="1" applyBorder="1" applyAlignment="1">
      <alignment horizontal="center"/>
    </xf>
    <xf numFmtId="9" fontId="0" fillId="0" borderId="0" xfId="57" applyFont="1" applyAlignment="1">
      <alignment/>
    </xf>
    <xf numFmtId="164" fontId="4" fillId="0" borderId="0" xfId="42" applyNumberFormat="1" applyFont="1" applyAlignment="1" quotePrefix="1">
      <alignment/>
    </xf>
    <xf numFmtId="164" fontId="0" fillId="0" borderId="0" xfId="0" applyNumberFormat="1" applyAlignment="1">
      <alignment/>
    </xf>
    <xf numFmtId="0" fontId="4" fillId="0" borderId="0" xfId="0" applyFont="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4" fillId="0" borderId="0" xfId="0" applyFont="1" applyBorder="1" applyAlignment="1" quotePrefix="1">
      <alignment horizontal="center"/>
    </xf>
    <xf numFmtId="0" fontId="0" fillId="0" borderId="12" xfId="0" applyBorder="1" applyAlignment="1">
      <alignment/>
    </xf>
    <xf numFmtId="0" fontId="0" fillId="0" borderId="11" xfId="0" applyBorder="1" applyAlignment="1">
      <alignment horizontal="centerContinuous"/>
    </xf>
    <xf numFmtId="0" fontId="0" fillId="0" borderId="17" xfId="0" applyBorder="1" applyAlignment="1">
      <alignment horizontal="centerContinuous"/>
    </xf>
    <xf numFmtId="0" fontId="4" fillId="33" borderId="18" xfId="0" applyFont="1" applyFill="1" applyBorder="1" applyAlignment="1" quotePrefix="1">
      <alignment horizontal="center"/>
    </xf>
    <xf numFmtId="0" fontId="4" fillId="33" borderId="19" xfId="0" applyFont="1" applyFill="1" applyBorder="1" applyAlignment="1">
      <alignment horizontal="center"/>
    </xf>
    <xf numFmtId="168" fontId="4" fillId="33" borderId="19" xfId="44" applyNumberFormat="1" applyFont="1" applyFill="1" applyBorder="1" applyAlignment="1">
      <alignment horizontal="center"/>
    </xf>
    <xf numFmtId="0" fontId="4" fillId="33" borderId="20" xfId="0" applyFont="1" applyFill="1" applyBorder="1" applyAlignment="1">
      <alignment horizontal="center"/>
    </xf>
    <xf numFmtId="164" fontId="0" fillId="33" borderId="19" xfId="42" applyNumberFormat="1" applyFont="1" applyFill="1" applyBorder="1" applyAlignment="1">
      <alignment/>
    </xf>
    <xf numFmtId="0" fontId="0" fillId="33" borderId="19" xfId="0" applyFill="1" applyBorder="1" applyAlignment="1">
      <alignment/>
    </xf>
    <xf numFmtId="164" fontId="4" fillId="33" borderId="0" xfId="42" applyNumberFormat="1" applyFont="1" applyFill="1" applyBorder="1" applyAlignment="1">
      <alignment horizontal="center"/>
    </xf>
    <xf numFmtId="164" fontId="4" fillId="33" borderId="13" xfId="42" applyNumberFormat="1" applyFont="1" applyFill="1" applyBorder="1" applyAlignment="1">
      <alignment horizontal="center"/>
    </xf>
    <xf numFmtId="164" fontId="4" fillId="0" borderId="21" xfId="42" applyNumberFormat="1" applyFont="1" applyBorder="1" applyAlignment="1">
      <alignment horizontal="center"/>
    </xf>
    <xf numFmtId="164" fontId="4" fillId="0" borderId="22" xfId="42" applyNumberFormat="1" applyFont="1" applyBorder="1" applyAlignment="1">
      <alignment horizontal="center"/>
    </xf>
    <xf numFmtId="164" fontId="4" fillId="0" borderId="22" xfId="42" applyNumberFormat="1" applyFont="1" applyBorder="1" applyAlignment="1">
      <alignment/>
    </xf>
    <xf numFmtId="164" fontId="4" fillId="0" borderId="23" xfId="42" applyNumberFormat="1" applyFont="1" applyBorder="1" applyAlignment="1">
      <alignment horizontal="center"/>
    </xf>
    <xf numFmtId="164" fontId="0" fillId="0" borderId="13" xfId="42" applyNumberFormat="1" applyFont="1" applyBorder="1" applyAlignment="1">
      <alignment/>
    </xf>
    <xf numFmtId="164" fontId="0" fillId="0" borderId="11" xfId="42" applyNumberFormat="1" applyFont="1" applyBorder="1" applyAlignment="1">
      <alignment/>
    </xf>
    <xf numFmtId="164" fontId="0" fillId="0" borderId="11" xfId="42" applyNumberFormat="1" applyFont="1" applyBorder="1" applyAlignment="1">
      <alignment horizontal="centerContinuous"/>
    </xf>
    <xf numFmtId="164" fontId="0" fillId="0" borderId="17" xfId="42" applyNumberFormat="1" applyFont="1" applyBorder="1" applyAlignment="1">
      <alignment horizontal="centerContinuous"/>
    </xf>
    <xf numFmtId="168" fontId="4" fillId="0" borderId="15" xfId="44" applyNumberFormat="1" applyFont="1" applyBorder="1" applyAlignment="1">
      <alignment horizontal="center"/>
    </xf>
    <xf numFmtId="164" fontId="4" fillId="0" borderId="24" xfId="42" applyNumberFormat="1" applyFont="1" applyBorder="1" applyAlignment="1">
      <alignment horizontal="center"/>
    </xf>
    <xf numFmtId="164" fontId="4" fillId="0" borderId="19" xfId="42" applyNumberFormat="1" applyFont="1" applyBorder="1" applyAlignment="1">
      <alignment horizontal="center"/>
    </xf>
    <xf numFmtId="164" fontId="4" fillId="0" borderId="20" xfId="42" applyNumberFormat="1" applyFont="1" applyBorder="1" applyAlignment="1">
      <alignment horizontal="center"/>
    </xf>
    <xf numFmtId="0" fontId="0" fillId="0" borderId="21" xfId="0" applyBorder="1" applyAlignment="1">
      <alignment/>
    </xf>
    <xf numFmtId="0" fontId="0" fillId="0" borderId="15" xfId="0" applyBorder="1" applyAlignment="1">
      <alignment/>
    </xf>
    <xf numFmtId="0" fontId="0" fillId="0" borderId="16" xfId="0" applyBorder="1" applyAlignment="1">
      <alignment/>
    </xf>
    <xf numFmtId="0" fontId="4" fillId="33" borderId="24" xfId="0" applyFont="1" applyFill="1" applyBorder="1" applyAlignment="1">
      <alignment horizontal="center"/>
    </xf>
    <xf numFmtId="164" fontId="0" fillId="0" borderId="21" xfId="42" applyNumberFormat="1" applyFont="1" applyBorder="1" applyAlignment="1">
      <alignment/>
    </xf>
    <xf numFmtId="164" fontId="0" fillId="0" borderId="22" xfId="42" applyNumberFormat="1" applyFont="1" applyBorder="1" applyAlignment="1">
      <alignment/>
    </xf>
    <xf numFmtId="164" fontId="0" fillId="0" borderId="23" xfId="42" applyNumberFormat="1" applyFont="1" applyBorder="1" applyAlignment="1">
      <alignment/>
    </xf>
    <xf numFmtId="164" fontId="0" fillId="0" borderId="15" xfId="42" applyNumberFormat="1" applyFont="1" applyBorder="1" applyAlignment="1">
      <alignment/>
    </xf>
    <xf numFmtId="164" fontId="0" fillId="0" borderId="0" xfId="42" applyNumberFormat="1" applyFont="1" applyBorder="1" applyAlignment="1">
      <alignment/>
    </xf>
    <xf numFmtId="164" fontId="0" fillId="0" borderId="12" xfId="42" applyNumberFormat="1" applyFont="1" applyBorder="1" applyAlignment="1">
      <alignment/>
    </xf>
    <xf numFmtId="168" fontId="0" fillId="0" borderId="25" xfId="44" applyNumberFormat="1" applyFont="1" applyBorder="1" applyAlignment="1">
      <alignment/>
    </xf>
    <xf numFmtId="168" fontId="0" fillId="0" borderId="26" xfId="44" applyNumberFormat="1" applyFont="1" applyBorder="1" applyAlignment="1">
      <alignment/>
    </xf>
    <xf numFmtId="168" fontId="0" fillId="0" borderId="27" xfId="44" applyNumberFormat="1" applyFont="1" applyBorder="1" applyAlignment="1">
      <alignment/>
    </xf>
    <xf numFmtId="164" fontId="0" fillId="0" borderId="26" xfId="42" applyNumberFormat="1" applyFont="1" applyBorder="1" applyAlignment="1">
      <alignment/>
    </xf>
    <xf numFmtId="164" fontId="0" fillId="0" borderId="24" xfId="42" applyNumberFormat="1" applyFont="1" applyBorder="1" applyAlignment="1">
      <alignment/>
    </xf>
    <xf numFmtId="164" fontId="0" fillId="0" borderId="19" xfId="42" applyNumberFormat="1" applyFont="1" applyBorder="1" applyAlignment="1">
      <alignment/>
    </xf>
    <xf numFmtId="164" fontId="0" fillId="0" borderId="20" xfId="42" applyNumberFormat="1" applyFont="1" applyBorder="1" applyAlignment="1">
      <alignment/>
    </xf>
    <xf numFmtId="164" fontId="0" fillId="0" borderId="18" xfId="42" applyNumberFormat="1" applyFont="1" applyBorder="1" applyAlignment="1">
      <alignment/>
    </xf>
    <xf numFmtId="168" fontId="0" fillId="0" borderId="28" xfId="44" applyNumberFormat="1" applyFont="1" applyBorder="1" applyAlignment="1">
      <alignment/>
    </xf>
    <xf numFmtId="164" fontId="4" fillId="0" borderId="21" xfId="42" applyNumberFormat="1" applyFont="1" applyBorder="1" applyAlignment="1">
      <alignment/>
    </xf>
    <xf numFmtId="164" fontId="4" fillId="0" borderId="23" xfId="42" applyNumberFormat="1" applyFont="1" applyBorder="1" applyAlignment="1">
      <alignment/>
    </xf>
    <xf numFmtId="164" fontId="4" fillId="0" borderId="15" xfId="42" applyNumberFormat="1" applyFont="1" applyBorder="1" applyAlignment="1">
      <alignment/>
    </xf>
    <xf numFmtId="164" fontId="4" fillId="0" borderId="15" xfId="42" applyNumberFormat="1" applyFont="1" applyBorder="1" applyAlignment="1" quotePrefix="1">
      <alignment/>
    </xf>
    <xf numFmtId="164" fontId="4" fillId="0" borderId="16" xfId="42" applyNumberFormat="1" applyFont="1" applyBorder="1" applyAlignment="1">
      <alignment/>
    </xf>
    <xf numFmtId="164" fontId="0" fillId="0" borderId="22" xfId="0" applyNumberFormat="1" applyBorder="1" applyAlignment="1">
      <alignment/>
    </xf>
    <xf numFmtId="165" fontId="0" fillId="0" borderId="22" xfId="57" applyNumberFormat="1" applyFont="1" applyBorder="1" applyAlignment="1">
      <alignment/>
    </xf>
    <xf numFmtId="164" fontId="0" fillId="33" borderId="24" xfId="42" applyNumberFormat="1" applyFont="1" applyFill="1" applyBorder="1" applyAlignment="1">
      <alignment/>
    </xf>
    <xf numFmtId="0" fontId="0" fillId="33" borderId="24" xfId="0" applyFill="1" applyBorder="1" applyAlignment="1">
      <alignment/>
    </xf>
    <xf numFmtId="164" fontId="0" fillId="0" borderId="0" xfId="0" applyNumberFormat="1" applyBorder="1" applyAlignment="1">
      <alignment/>
    </xf>
    <xf numFmtId="0" fontId="0" fillId="0" borderId="0" xfId="0" applyBorder="1" applyAlignment="1">
      <alignment/>
    </xf>
    <xf numFmtId="168" fontId="0" fillId="33" borderId="28" xfId="44" applyNumberFormat="1" applyFont="1" applyFill="1" applyBorder="1" applyAlignment="1">
      <alignment/>
    </xf>
    <xf numFmtId="0" fontId="0" fillId="33" borderId="18" xfId="0" applyFill="1" applyBorder="1" applyAlignment="1">
      <alignment/>
    </xf>
    <xf numFmtId="165" fontId="0" fillId="0" borderId="0" xfId="0" applyNumberFormat="1" applyAlignment="1">
      <alignment/>
    </xf>
    <xf numFmtId="164" fontId="0" fillId="0" borderId="25" xfId="42" applyNumberFormat="1" applyFont="1" applyBorder="1" applyAlignment="1">
      <alignment/>
    </xf>
    <xf numFmtId="0" fontId="0" fillId="0" borderId="24"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33" borderId="12" xfId="0" applyFont="1" applyFill="1" applyBorder="1" applyAlignment="1">
      <alignment horizontal="center"/>
    </xf>
    <xf numFmtId="0" fontId="4" fillId="33" borderId="14" xfId="0" applyFont="1" applyFill="1" applyBorder="1" applyAlignment="1">
      <alignment horizontal="center"/>
    </xf>
    <xf numFmtId="164" fontId="0" fillId="33" borderId="12" xfId="42" applyNumberFormat="1" applyFont="1" applyFill="1" applyBorder="1" applyAlignment="1">
      <alignment/>
    </xf>
    <xf numFmtId="0" fontId="4" fillId="0" borderId="10" xfId="0" applyFont="1" applyBorder="1" applyAlignment="1">
      <alignment horizontal="centerContinuous"/>
    </xf>
    <xf numFmtId="165" fontId="0" fillId="0" borderId="0" xfId="57" applyNumberFormat="1" applyFont="1" applyBorder="1" applyAlignment="1">
      <alignment/>
    </xf>
    <xf numFmtId="165" fontId="0" fillId="0" borderId="26" xfId="57" applyNumberFormat="1" applyFont="1" applyBorder="1" applyAlignment="1">
      <alignment/>
    </xf>
    <xf numFmtId="168" fontId="0" fillId="33" borderId="26" xfId="44" applyNumberFormat="1" applyFont="1" applyFill="1" applyBorder="1" applyAlignment="1">
      <alignment/>
    </xf>
    <xf numFmtId="0" fontId="0" fillId="0" borderId="28" xfId="0" applyBorder="1" applyAlignment="1">
      <alignment/>
    </xf>
    <xf numFmtId="168" fontId="0" fillId="33" borderId="27" xfId="44" applyNumberFormat="1" applyFont="1" applyFill="1" applyBorder="1" applyAlignment="1">
      <alignment/>
    </xf>
    <xf numFmtId="164" fontId="0" fillId="33" borderId="22" xfId="42" applyNumberFormat="1" applyFont="1" applyFill="1" applyBorder="1" applyAlignment="1">
      <alignment/>
    </xf>
    <xf numFmtId="164" fontId="0" fillId="33" borderId="23" xfId="42" applyNumberFormat="1" applyFont="1" applyFill="1" applyBorder="1" applyAlignment="1">
      <alignment/>
    </xf>
    <xf numFmtId="164" fontId="0" fillId="33" borderId="0" xfId="42" applyNumberFormat="1" applyFont="1" applyFill="1" applyBorder="1" applyAlignment="1">
      <alignment/>
    </xf>
    <xf numFmtId="164" fontId="4" fillId="0" borderId="14" xfId="42" applyNumberFormat="1" applyFont="1" applyBorder="1" applyAlignment="1">
      <alignment horizontal="center"/>
    </xf>
    <xf numFmtId="164" fontId="4" fillId="0" borderId="0" xfId="42" applyNumberFormat="1" applyFont="1" applyBorder="1" applyAlignment="1" quotePrefix="1">
      <alignment horizontal="center"/>
    </xf>
    <xf numFmtId="168" fontId="4" fillId="33" borderId="0" xfId="44" applyNumberFormat="1" applyFont="1" applyFill="1" applyBorder="1" applyAlignment="1">
      <alignment/>
    </xf>
    <xf numFmtId="164" fontId="5" fillId="0" borderId="0" xfId="42" applyNumberFormat="1" applyFont="1" applyAlignment="1">
      <alignment/>
    </xf>
    <xf numFmtId="168" fontId="4" fillId="0" borderId="0" xfId="44" applyNumberFormat="1" applyFont="1" applyBorder="1" applyAlignment="1">
      <alignment horizontal="center"/>
    </xf>
    <xf numFmtId="164" fontId="4" fillId="0" borderId="23" xfId="42" applyNumberFormat="1" applyFont="1" applyBorder="1" applyAlignment="1" quotePrefix="1">
      <alignment horizontal="center"/>
    </xf>
    <xf numFmtId="164" fontId="0" fillId="0" borderId="28" xfId="42" applyNumberFormat="1" applyFont="1" applyBorder="1" applyAlignment="1">
      <alignment/>
    </xf>
    <xf numFmtId="164" fontId="4" fillId="0" borderId="0" xfId="42" applyNumberFormat="1" applyFont="1" applyAlignment="1" quotePrefix="1">
      <alignment horizontal="left"/>
    </xf>
    <xf numFmtId="164" fontId="0" fillId="0" borderId="17" xfId="42" applyNumberFormat="1" applyFont="1" applyBorder="1" applyAlignment="1">
      <alignment/>
    </xf>
    <xf numFmtId="164" fontId="4" fillId="0" borderId="19" xfId="42" applyNumberFormat="1" applyFont="1" applyBorder="1" applyAlignment="1">
      <alignment/>
    </xf>
    <xf numFmtId="164" fontId="4" fillId="0" borderId="24" xfId="42" applyNumberFormat="1" applyFont="1" applyBorder="1" applyAlignment="1">
      <alignment/>
    </xf>
    <xf numFmtId="0" fontId="4" fillId="0" borderId="22" xfId="0" applyFont="1" applyBorder="1" applyAlignment="1">
      <alignment horizontal="center"/>
    </xf>
    <xf numFmtId="164" fontId="0" fillId="0" borderId="25" xfId="0" applyNumberFormat="1" applyBorder="1" applyAlignment="1">
      <alignment/>
    </xf>
    <xf numFmtId="165" fontId="0" fillId="0" borderId="26" xfId="0" applyNumberFormat="1" applyBorder="1" applyAlignment="1">
      <alignment/>
    </xf>
    <xf numFmtId="164" fontId="0" fillId="33" borderId="19" xfId="0" applyNumberFormat="1" applyFill="1" applyBorder="1" applyAlignment="1">
      <alignment/>
    </xf>
    <xf numFmtId="168" fontId="0" fillId="0" borderId="0" xfId="44" applyNumberFormat="1" applyFont="1" applyBorder="1" applyAlignment="1">
      <alignment/>
    </xf>
    <xf numFmtId="164" fontId="0" fillId="0" borderId="0" xfId="42" applyNumberFormat="1" applyFont="1" applyAlignment="1">
      <alignment horizontal="center"/>
    </xf>
    <xf numFmtId="165" fontId="0" fillId="0" borderId="27" xfId="57" applyNumberFormat="1" applyFont="1" applyBorder="1" applyAlignment="1">
      <alignment/>
    </xf>
    <xf numFmtId="164" fontId="0" fillId="0" borderId="21" xfId="0" applyNumberFormat="1" applyBorder="1" applyAlignment="1">
      <alignment/>
    </xf>
    <xf numFmtId="164" fontId="0" fillId="0" borderId="15" xfId="0" applyNumberFormat="1" applyBorder="1" applyAlignment="1">
      <alignment/>
    </xf>
    <xf numFmtId="164" fontId="4" fillId="33" borderId="24" xfId="42" applyNumberFormat="1" applyFont="1" applyFill="1" applyBorder="1" applyAlignment="1">
      <alignment horizontal="center"/>
    </xf>
    <xf numFmtId="168" fontId="4" fillId="33" borderId="19" xfId="44" applyNumberFormat="1" applyFont="1" applyFill="1" applyBorder="1" applyAlignment="1">
      <alignment/>
    </xf>
    <xf numFmtId="164" fontId="4" fillId="33" borderId="20" xfId="42" applyNumberFormat="1" applyFont="1" applyFill="1" applyBorder="1" applyAlignment="1">
      <alignment horizontal="center"/>
    </xf>
    <xf numFmtId="1" fontId="0" fillId="33" borderId="24" xfId="0" applyNumberFormat="1" applyFill="1" applyBorder="1" applyAlignment="1">
      <alignment/>
    </xf>
    <xf numFmtId="164" fontId="0" fillId="33" borderId="20" xfId="42" applyNumberFormat="1" applyFont="1" applyFill="1" applyBorder="1" applyAlignment="1">
      <alignment/>
    </xf>
    <xf numFmtId="164" fontId="4" fillId="0" borderId="26" xfId="42" applyNumberFormat="1" applyFont="1" applyBorder="1" applyAlignment="1">
      <alignment horizontal="centerContinuous"/>
    </xf>
    <xf numFmtId="164" fontId="4" fillId="0" borderId="27" xfId="42" applyNumberFormat="1" applyFont="1" applyBorder="1" applyAlignment="1">
      <alignment horizontal="centerContinuous"/>
    </xf>
    <xf numFmtId="164" fontId="4" fillId="0" borderId="25" xfId="42" applyNumberFormat="1" applyFont="1" applyBorder="1" applyAlignment="1">
      <alignment horizontal="centerContinuous"/>
    </xf>
    <xf numFmtId="164" fontId="4" fillId="0" borderId="25" xfId="42" applyNumberFormat="1" applyFont="1" applyBorder="1" applyAlignment="1">
      <alignment/>
    </xf>
    <xf numFmtId="164" fontId="4" fillId="0" borderId="27" xfId="42" applyNumberFormat="1" applyFont="1" applyBorder="1" applyAlignment="1">
      <alignment/>
    </xf>
    <xf numFmtId="164" fontId="4" fillId="0" borderId="14" xfId="42" applyNumberFormat="1" applyFont="1" applyBorder="1" applyAlignment="1" quotePrefix="1">
      <alignment horizontal="center"/>
    </xf>
    <xf numFmtId="164" fontId="0" fillId="0" borderId="0" xfId="42" applyNumberFormat="1" applyAlignment="1">
      <alignment/>
    </xf>
    <xf numFmtId="168" fontId="4" fillId="33" borderId="12" xfId="44" applyNumberFormat="1" applyFont="1" applyFill="1" applyBorder="1" applyAlignment="1">
      <alignment horizontal="center"/>
    </xf>
    <xf numFmtId="164" fontId="5" fillId="0" borderId="0" xfId="42" applyNumberFormat="1" applyFont="1" applyAlignment="1">
      <alignment horizontal="center"/>
    </xf>
    <xf numFmtId="43" fontId="0" fillId="0" borderId="0" xfId="42" applyNumberFormat="1" applyFont="1" applyAlignment="1">
      <alignment/>
    </xf>
    <xf numFmtId="164" fontId="0" fillId="0" borderId="16" xfId="42" applyNumberFormat="1" applyFont="1" applyBorder="1" applyAlignment="1">
      <alignment/>
    </xf>
    <xf numFmtId="164" fontId="0" fillId="0" borderId="0" xfId="42" applyNumberFormat="1" applyBorder="1" applyAlignment="1">
      <alignment/>
    </xf>
    <xf numFmtId="164" fontId="5" fillId="0" borderId="0" xfId="42" applyNumberFormat="1" applyFont="1" applyBorder="1" applyAlignment="1">
      <alignment/>
    </xf>
    <xf numFmtId="164" fontId="0" fillId="0" borderId="13" xfId="42" applyNumberFormat="1" applyFont="1" applyBorder="1" applyAlignment="1">
      <alignment horizontal="center"/>
    </xf>
    <xf numFmtId="164" fontId="0" fillId="0" borderId="13" xfId="42" applyNumberFormat="1" applyFont="1" applyBorder="1" applyAlignment="1" quotePrefix="1">
      <alignment horizontal="center"/>
    </xf>
    <xf numFmtId="164" fontId="4" fillId="33" borderId="16" xfId="42" applyNumberFormat="1" applyFont="1" applyFill="1" applyBorder="1" applyAlignment="1">
      <alignment horizontal="center"/>
    </xf>
    <xf numFmtId="1" fontId="0" fillId="33" borderId="21" xfId="0" applyNumberFormat="1" applyFill="1" applyBorder="1" applyAlignment="1">
      <alignment/>
    </xf>
    <xf numFmtId="0" fontId="1" fillId="0" borderId="0" xfId="0" applyFont="1" applyAlignment="1">
      <alignment horizontal="center"/>
    </xf>
    <xf numFmtId="164" fontId="0" fillId="0" borderId="0" xfId="42" applyNumberFormat="1" applyFont="1" applyBorder="1"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0" fontId="0" fillId="0" borderId="0" xfId="0" applyNumberFormat="1" applyAlignment="1">
      <alignment wrapText="1"/>
    </xf>
    <xf numFmtId="1" fontId="0" fillId="0" borderId="0" xfId="0" applyNumberFormat="1" applyAlignment="1">
      <alignment/>
    </xf>
    <xf numFmtId="164" fontId="0" fillId="0" borderId="21" xfId="42" applyNumberFormat="1" applyFont="1" applyBorder="1" applyAlignment="1">
      <alignment/>
    </xf>
    <xf numFmtId="164" fontId="0" fillId="0" borderId="15" xfId="42" applyNumberFormat="1" applyFont="1" applyBorder="1" applyAlignment="1">
      <alignment/>
    </xf>
    <xf numFmtId="164" fontId="0" fillId="0" borderId="22" xfId="42" applyNumberFormat="1" applyFont="1" applyBorder="1" applyAlignment="1">
      <alignment/>
    </xf>
    <xf numFmtId="166" fontId="0" fillId="0" borderId="0" xfId="42" applyNumberFormat="1" applyFont="1" applyAlignment="1">
      <alignment/>
    </xf>
    <xf numFmtId="43" fontId="0" fillId="0" borderId="0" xfId="0" applyNumberFormat="1" applyAlignment="1">
      <alignment/>
    </xf>
    <xf numFmtId="164" fontId="1" fillId="0" borderId="0" xfId="42" applyNumberFormat="1" applyFont="1" applyAlignment="1">
      <alignment/>
    </xf>
    <xf numFmtId="164" fontId="0" fillId="0" borderId="24" xfId="42" applyNumberFormat="1" applyFont="1" applyBorder="1" applyAlignment="1">
      <alignment horizontal="center"/>
    </xf>
    <xf numFmtId="164" fontId="0" fillId="0" borderId="19" xfId="42" applyNumberFormat="1" applyFont="1" applyBorder="1" applyAlignment="1">
      <alignment horizontal="center"/>
    </xf>
    <xf numFmtId="164" fontId="0" fillId="0" borderId="20" xfId="42" applyNumberFormat="1" applyFont="1" applyBorder="1" applyAlignment="1">
      <alignment horizontal="center"/>
    </xf>
    <xf numFmtId="166" fontId="4" fillId="0" borderId="0" xfId="42" applyNumberFormat="1" applyFont="1" applyAlignment="1">
      <alignment/>
    </xf>
    <xf numFmtId="166" fontId="4" fillId="0" borderId="0" xfId="42" applyNumberFormat="1" applyFont="1" applyBorder="1" applyAlignment="1">
      <alignment/>
    </xf>
    <xf numFmtId="166" fontId="4" fillId="0" borderId="13" xfId="42" applyNumberFormat="1" applyFont="1" applyBorder="1" applyAlignment="1">
      <alignment/>
    </xf>
    <xf numFmtId="166" fontId="4" fillId="0" borderId="21" xfId="42" applyNumberFormat="1" applyFont="1" applyBorder="1" applyAlignment="1">
      <alignment/>
    </xf>
    <xf numFmtId="166" fontId="4" fillId="0" borderId="23" xfId="42" applyNumberFormat="1" applyFont="1" applyBorder="1" applyAlignment="1">
      <alignment/>
    </xf>
    <xf numFmtId="166" fontId="4" fillId="0" borderId="15" xfId="42" applyNumberFormat="1" applyFont="1" applyBorder="1" applyAlignment="1">
      <alignment/>
    </xf>
    <xf numFmtId="166" fontId="4" fillId="0" borderId="12" xfId="42" applyNumberFormat="1" applyFont="1" applyBorder="1" applyAlignment="1">
      <alignment/>
    </xf>
    <xf numFmtId="166" fontId="4" fillId="0" borderId="15" xfId="42" applyNumberFormat="1" applyFont="1" applyBorder="1" applyAlignment="1" quotePrefix="1">
      <alignment/>
    </xf>
    <xf numFmtId="166" fontId="4" fillId="0" borderId="16" xfId="42" applyNumberFormat="1" applyFont="1" applyBorder="1" applyAlignment="1">
      <alignment/>
    </xf>
    <xf numFmtId="166" fontId="4" fillId="0" borderId="14" xfId="42" applyNumberFormat="1" applyFont="1" applyBorder="1" applyAlignment="1">
      <alignment/>
    </xf>
    <xf numFmtId="166" fontId="0" fillId="0" borderId="0" xfId="42" applyNumberFormat="1" applyFont="1" applyBorder="1" applyAlignment="1">
      <alignment/>
    </xf>
    <xf numFmtId="166" fontId="0" fillId="0" borderId="13" xfId="42" applyNumberFormat="1" applyFont="1" applyBorder="1" applyAlignment="1">
      <alignment/>
    </xf>
    <xf numFmtId="166" fontId="0" fillId="0" borderId="19" xfId="42" applyNumberFormat="1" applyFont="1" applyBorder="1" applyAlignment="1">
      <alignment/>
    </xf>
    <xf numFmtId="166" fontId="0" fillId="0" borderId="20" xfId="42" applyNumberFormat="1" applyFont="1" applyBorder="1" applyAlignment="1">
      <alignment/>
    </xf>
    <xf numFmtId="166" fontId="0" fillId="0" borderId="24" xfId="42" applyNumberFormat="1" applyFont="1" applyBorder="1" applyAlignment="1">
      <alignment horizontal="center"/>
    </xf>
    <xf numFmtId="166" fontId="0" fillId="0" borderId="22" xfId="42" applyNumberFormat="1" applyFont="1" applyBorder="1" applyAlignment="1">
      <alignment horizontal="center"/>
    </xf>
    <xf numFmtId="166" fontId="0" fillId="0" borderId="19" xfId="42" applyNumberFormat="1" applyFont="1" applyBorder="1" applyAlignment="1">
      <alignment horizontal="center"/>
    </xf>
    <xf numFmtId="166" fontId="0" fillId="0" borderId="0" xfId="42" applyNumberFormat="1" applyFont="1" applyBorder="1" applyAlignment="1">
      <alignment horizontal="center"/>
    </xf>
    <xf numFmtId="166" fontId="0" fillId="0" borderId="20" xfId="42" applyNumberFormat="1" applyFont="1" applyBorder="1" applyAlignment="1">
      <alignment horizontal="center"/>
    </xf>
    <xf numFmtId="166" fontId="0" fillId="0" borderId="13" xfId="42" applyNumberFormat="1" applyFont="1" applyBorder="1" applyAlignment="1">
      <alignment horizontal="center"/>
    </xf>
    <xf numFmtId="10" fontId="0" fillId="0" borderId="0" xfId="57" applyNumberFormat="1" applyFont="1" applyAlignment="1">
      <alignment/>
    </xf>
    <xf numFmtId="10" fontId="0" fillId="0" borderId="11" xfId="57" applyNumberFormat="1" applyFont="1" applyBorder="1" applyAlignment="1">
      <alignment horizontal="centerContinuous"/>
    </xf>
    <xf numFmtId="10" fontId="4" fillId="0" borderId="0" xfId="57" applyNumberFormat="1" applyFont="1" applyAlignment="1">
      <alignment/>
    </xf>
    <xf numFmtId="10" fontId="4" fillId="0" borderId="0" xfId="57" applyNumberFormat="1" applyFont="1" applyAlignment="1">
      <alignment horizontal="center"/>
    </xf>
    <xf numFmtId="10" fontId="4" fillId="0" borderId="13" xfId="57" applyNumberFormat="1" applyFont="1" applyBorder="1" applyAlignment="1">
      <alignment horizontal="center"/>
    </xf>
    <xf numFmtId="10" fontId="0" fillId="0" borderId="22" xfId="57" applyNumberFormat="1" applyFont="1" applyBorder="1" applyAlignment="1">
      <alignment/>
    </xf>
    <xf numFmtId="10" fontId="0" fillId="0" borderId="0" xfId="57" applyNumberFormat="1" applyFont="1" applyBorder="1" applyAlignment="1">
      <alignment/>
    </xf>
    <xf numFmtId="10" fontId="0" fillId="0" borderId="26" xfId="57" applyNumberFormat="1" applyFont="1" applyBorder="1" applyAlignment="1">
      <alignment/>
    </xf>
    <xf numFmtId="10" fontId="4" fillId="0" borderId="11" xfId="57" applyNumberFormat="1" applyFont="1" applyBorder="1" applyAlignment="1">
      <alignment horizontal="centerContinuous"/>
    </xf>
    <xf numFmtId="10" fontId="4" fillId="0" borderId="0" xfId="57" applyNumberFormat="1" applyFont="1" applyBorder="1" applyAlignment="1">
      <alignment horizontal="center"/>
    </xf>
    <xf numFmtId="10" fontId="4" fillId="0" borderId="0" xfId="57" applyNumberFormat="1" applyFont="1" applyBorder="1" applyAlignment="1" quotePrefix="1">
      <alignment horizontal="center"/>
    </xf>
    <xf numFmtId="166" fontId="0" fillId="33" borderId="19" xfId="42" applyNumberFormat="1" applyFont="1" applyFill="1" applyBorder="1" applyAlignment="1">
      <alignment/>
    </xf>
    <xf numFmtId="166" fontId="0" fillId="0" borderId="15" xfId="42" applyNumberFormat="1" applyFont="1" applyBorder="1" applyAlignment="1">
      <alignment/>
    </xf>
    <xf numFmtId="164" fontId="1" fillId="0" borderId="0" xfId="42" applyNumberFormat="1" applyFont="1" applyAlignment="1">
      <alignment horizontal="center"/>
    </xf>
    <xf numFmtId="164" fontId="1" fillId="0" borderId="13" xfId="42" applyNumberFormat="1" applyFont="1" applyBorder="1" applyAlignment="1">
      <alignment horizontal="center"/>
    </xf>
    <xf numFmtId="164" fontId="1" fillId="0" borderId="22" xfId="0" applyNumberFormat="1" applyFont="1" applyBorder="1" applyAlignment="1">
      <alignment horizontal="center"/>
    </xf>
    <xf numFmtId="0" fontId="1" fillId="0" borderId="0" xfId="0" applyFont="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166" fontId="0" fillId="0" borderId="0" xfId="42"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tabSelected="1" zoomScalePageLayoutView="0" workbookViewId="0" topLeftCell="A1">
      <selection activeCell="A1" sqref="A1"/>
    </sheetView>
  </sheetViews>
  <sheetFormatPr defaultColWidth="9.140625" defaultRowHeight="12.75"/>
  <cols>
    <col min="1" max="1" width="78.7109375" style="0" customWidth="1"/>
  </cols>
  <sheetData>
    <row r="1" ht="12.75">
      <c r="A1" s="139" t="s">
        <v>122</v>
      </c>
    </row>
    <row r="3" ht="38.25">
      <c r="A3" s="141" t="s">
        <v>123</v>
      </c>
    </row>
    <row r="5" ht="12.75">
      <c r="A5" s="143" t="s">
        <v>124</v>
      </c>
    </row>
    <row r="7" ht="38.25">
      <c r="A7" s="142" t="s">
        <v>141</v>
      </c>
    </row>
    <row r="9" ht="153">
      <c r="A9" s="142" t="s">
        <v>142</v>
      </c>
    </row>
    <row r="11" ht="38.25">
      <c r="A11" s="144" t="s">
        <v>125</v>
      </c>
    </row>
    <row r="13" ht="38.25">
      <c r="A13" s="141" t="s">
        <v>126</v>
      </c>
    </row>
    <row r="15" ht="25.5">
      <c r="A15" s="142" t="s">
        <v>128</v>
      </c>
    </row>
    <row r="17" ht="38.25">
      <c r="A17" s="142" t="s">
        <v>143</v>
      </c>
    </row>
    <row r="19" ht="102">
      <c r="A19" s="142" t="s">
        <v>131</v>
      </c>
    </row>
    <row r="21" ht="25.5">
      <c r="A21" s="142" t="s">
        <v>129</v>
      </c>
    </row>
    <row r="23" ht="51">
      <c r="A23" s="142" t="s">
        <v>132</v>
      </c>
    </row>
    <row r="25" ht="12.75">
      <c r="A25" s="143" t="s">
        <v>133</v>
      </c>
    </row>
    <row r="27" ht="38.25">
      <c r="A27" s="142" t="s">
        <v>134</v>
      </c>
    </row>
    <row r="29" ht="25.5">
      <c r="A29" s="142" t="s">
        <v>130</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6:O29"/>
  <sheetViews>
    <sheetView zoomScalePageLayoutView="0" workbookViewId="0" topLeftCell="F1">
      <selection activeCell="M24" sqref="M24"/>
    </sheetView>
  </sheetViews>
  <sheetFormatPr defaultColWidth="8.8515625" defaultRowHeight="12.75"/>
  <cols>
    <col min="1" max="1" width="3.8515625" style="1" customWidth="1"/>
    <col min="2" max="2" width="20.28125" style="1" customWidth="1"/>
    <col min="3" max="3" width="11.421875" style="1" bestFit="1" customWidth="1"/>
    <col min="4" max="4" width="9.8515625" style="1" customWidth="1"/>
    <col min="5" max="6" width="11.421875" style="1" bestFit="1" customWidth="1"/>
    <col min="7" max="7" width="9.8515625" style="1" customWidth="1"/>
    <col min="8" max="8" width="11.421875" style="1" bestFit="1" customWidth="1"/>
    <col min="9" max="9" width="11.421875" style="1" customWidth="1"/>
    <col min="10" max="10" width="11.421875" style="1" bestFit="1" customWidth="1"/>
    <col min="11" max="11" width="8.8515625" style="1" customWidth="1"/>
    <col min="12" max="12" width="1.1484375" style="1" customWidth="1"/>
    <col min="13" max="13" width="9.421875" style="1" bestFit="1" customWidth="1"/>
    <col min="14" max="14" width="1.28515625" style="1" customWidth="1"/>
    <col min="15" max="15" width="11.28125" style="1" customWidth="1"/>
    <col min="16" max="16384" width="8.8515625" style="1" customWidth="1"/>
  </cols>
  <sheetData>
    <row r="1" ht="12.75"/>
    <row r="2" ht="12.75"/>
    <row r="3" ht="12.75"/>
    <row r="4" ht="12.75"/>
    <row r="5" ht="12.75"/>
    <row r="6" spans="2:15" ht="13.5" thickBot="1">
      <c r="B6" s="56"/>
      <c r="C6" s="4" t="s">
        <v>119</v>
      </c>
      <c r="D6" s="41"/>
      <c r="E6" s="42"/>
      <c r="F6" s="4" t="s">
        <v>135</v>
      </c>
      <c r="G6" s="41"/>
      <c r="H6" s="42"/>
      <c r="I6" s="3" t="s">
        <v>140</v>
      </c>
      <c r="J6" s="41"/>
      <c r="K6" s="42"/>
      <c r="L6" s="64"/>
      <c r="M6" s="105"/>
      <c r="N6" s="64"/>
      <c r="O6" s="105"/>
    </row>
    <row r="7" spans="2:15" ht="13.5" thickTop="1">
      <c r="B7" s="56"/>
      <c r="C7" s="35"/>
      <c r="D7" s="36"/>
      <c r="E7" s="38"/>
      <c r="F7" s="35"/>
      <c r="G7" s="52"/>
      <c r="H7" s="102"/>
      <c r="I7" s="54"/>
      <c r="J7" s="55"/>
      <c r="K7" s="53"/>
      <c r="L7" s="61"/>
      <c r="M7" s="107"/>
      <c r="N7" s="61"/>
      <c r="O7" s="38" t="s">
        <v>85</v>
      </c>
    </row>
    <row r="8" spans="1:15" ht="12.75">
      <c r="A8" s="2"/>
      <c r="B8" s="5"/>
      <c r="C8" s="15"/>
      <c r="D8" s="12"/>
      <c r="E8" s="14"/>
      <c r="F8" s="15"/>
      <c r="G8" s="12"/>
      <c r="H8" s="14"/>
      <c r="I8" s="15" t="s">
        <v>86</v>
      </c>
      <c r="J8" s="12" t="s">
        <v>87</v>
      </c>
      <c r="K8" s="14"/>
      <c r="L8" s="62"/>
      <c r="M8" s="106"/>
      <c r="N8" s="62"/>
      <c r="O8" s="14" t="s">
        <v>88</v>
      </c>
    </row>
    <row r="9" spans="1:15" ht="12.75">
      <c r="A9" s="7" t="s">
        <v>25</v>
      </c>
      <c r="B9" s="8"/>
      <c r="C9" s="16" t="s">
        <v>89</v>
      </c>
      <c r="D9" s="13" t="s">
        <v>90</v>
      </c>
      <c r="E9" s="97" t="s">
        <v>91</v>
      </c>
      <c r="F9" s="16" t="s">
        <v>89</v>
      </c>
      <c r="G9" s="13" t="s">
        <v>90</v>
      </c>
      <c r="H9" s="13" t="s">
        <v>91</v>
      </c>
      <c r="I9" s="16" t="s">
        <v>92</v>
      </c>
      <c r="J9" s="13" t="s">
        <v>92</v>
      </c>
      <c r="K9" s="127" t="s">
        <v>93</v>
      </c>
      <c r="L9" s="63"/>
      <c r="M9" s="46" t="s">
        <v>94</v>
      </c>
      <c r="N9" s="63"/>
      <c r="O9" s="97" t="s">
        <v>95</v>
      </c>
    </row>
    <row r="10" spans="1:15" ht="12.75">
      <c r="A10" s="2" t="s">
        <v>34</v>
      </c>
      <c r="B10" s="2" t="s">
        <v>35</v>
      </c>
      <c r="C10" s="54">
        <v>171769</v>
      </c>
      <c r="D10" s="55">
        <v>89022</v>
      </c>
      <c r="E10" s="56">
        <f>+C10-D10</f>
        <v>82747</v>
      </c>
      <c r="F10" s="54">
        <v>159109</v>
      </c>
      <c r="G10" s="55">
        <v>79718</v>
      </c>
      <c r="H10" s="56">
        <f>+F10-G10</f>
        <v>79391</v>
      </c>
      <c r="I10" s="54">
        <f>+H10+E10</f>
        <v>162138</v>
      </c>
      <c r="J10" s="55">
        <f>+I10/2</f>
        <v>81069</v>
      </c>
      <c r="K10" s="1">
        <f>+J10/1000</f>
        <v>81.069</v>
      </c>
      <c r="L10" s="62"/>
      <c r="M10" s="56"/>
      <c r="N10" s="62"/>
      <c r="O10" s="56">
        <f>+M10+K10</f>
        <v>81.069</v>
      </c>
    </row>
    <row r="11" spans="1:15" ht="12.75">
      <c r="A11" s="2" t="s">
        <v>36</v>
      </c>
      <c r="B11" s="2" t="s">
        <v>37</v>
      </c>
      <c r="C11" s="54"/>
      <c r="D11" s="55"/>
      <c r="E11" s="56"/>
      <c r="F11" s="54"/>
      <c r="G11" s="55"/>
      <c r="H11" s="56"/>
      <c r="I11" s="54">
        <f aca="true" t="shared" si="0" ref="I11:I25">+H11+E11</f>
        <v>0</v>
      </c>
      <c r="J11" s="55">
        <f>+I11/2</f>
        <v>0</v>
      </c>
      <c r="K11" s="1">
        <f>+J11/1000</f>
        <v>0</v>
      </c>
      <c r="L11" s="62"/>
      <c r="M11" s="56"/>
      <c r="N11" s="62"/>
      <c r="O11" s="56">
        <f aca="true" t="shared" si="1" ref="O11:O25">+M11+K11</f>
        <v>0</v>
      </c>
    </row>
    <row r="12" spans="1:15" ht="12.75">
      <c r="A12" s="2" t="s">
        <v>38</v>
      </c>
      <c r="B12" s="2" t="s">
        <v>39</v>
      </c>
      <c r="C12" s="54">
        <v>209073</v>
      </c>
      <c r="D12" s="55">
        <v>25206</v>
      </c>
      <c r="E12" s="56">
        <f>+C12-D12</f>
        <v>183867</v>
      </c>
      <c r="F12" s="54">
        <v>162638</v>
      </c>
      <c r="G12" s="55">
        <v>15818</v>
      </c>
      <c r="H12" s="56">
        <f>+F12-G12</f>
        <v>146820</v>
      </c>
      <c r="I12" s="54">
        <f t="shared" si="0"/>
        <v>330687</v>
      </c>
      <c r="J12" s="55">
        <f>+I12/2</f>
        <v>165343.5</v>
      </c>
      <c r="K12" s="1">
        <f>+J12/1000</f>
        <v>165.3435</v>
      </c>
      <c r="L12" s="62"/>
      <c r="M12" s="56"/>
      <c r="N12" s="62"/>
      <c r="O12" s="56">
        <f t="shared" si="1"/>
        <v>165.3435</v>
      </c>
    </row>
    <row r="13" spans="1:15" ht="12.75">
      <c r="A13" s="2" t="s">
        <v>40</v>
      </c>
      <c r="B13" s="2" t="s">
        <v>41</v>
      </c>
      <c r="C13" s="54">
        <v>5512</v>
      </c>
      <c r="D13" s="55"/>
      <c r="E13" s="56">
        <f>+C13-D13</f>
        <v>5512</v>
      </c>
      <c r="F13" s="54">
        <v>4256</v>
      </c>
      <c r="G13" s="55"/>
      <c r="H13" s="56">
        <f>+F13-G13</f>
        <v>4256</v>
      </c>
      <c r="I13" s="54">
        <f t="shared" si="0"/>
        <v>9768</v>
      </c>
      <c r="J13" s="55">
        <f>+I13/2</f>
        <v>4884</v>
      </c>
      <c r="K13" s="1">
        <f>+J13/1000</f>
        <v>4.884</v>
      </c>
      <c r="L13" s="62"/>
      <c r="M13" s="56"/>
      <c r="N13" s="62"/>
      <c r="O13" s="56">
        <f t="shared" si="1"/>
        <v>4.884</v>
      </c>
    </row>
    <row r="14" spans="1:15" ht="12.75">
      <c r="A14" s="2" t="s">
        <v>42</v>
      </c>
      <c r="B14" s="2" t="s">
        <v>43</v>
      </c>
      <c r="C14" s="54">
        <v>1627</v>
      </c>
      <c r="D14" s="55"/>
      <c r="E14" s="56">
        <f>+C14-D14</f>
        <v>1627</v>
      </c>
      <c r="F14" s="54">
        <v>9211</v>
      </c>
      <c r="G14" s="55">
        <v>5228</v>
      </c>
      <c r="H14" s="56">
        <f>+F14-G14</f>
        <v>3983</v>
      </c>
      <c r="I14" s="54">
        <f t="shared" si="0"/>
        <v>5610</v>
      </c>
      <c r="J14" s="55">
        <f>+I14/2</f>
        <v>2805</v>
      </c>
      <c r="K14" s="1">
        <f>+J14/1000</f>
        <v>2.805</v>
      </c>
      <c r="L14" s="62"/>
      <c r="M14" s="56"/>
      <c r="N14" s="62"/>
      <c r="O14" s="56">
        <f t="shared" si="1"/>
        <v>2.805</v>
      </c>
    </row>
    <row r="15" spans="1:15" ht="12.75">
      <c r="A15" s="2" t="s">
        <v>44</v>
      </c>
      <c r="B15" s="2" t="s">
        <v>45</v>
      </c>
      <c r="C15" s="54"/>
      <c r="D15" s="55"/>
      <c r="E15" s="56"/>
      <c r="F15" s="54"/>
      <c r="G15" s="55"/>
      <c r="H15" s="56"/>
      <c r="I15" s="54">
        <f t="shared" si="0"/>
        <v>0</v>
      </c>
      <c r="J15" s="55"/>
      <c r="L15" s="62"/>
      <c r="M15" s="56"/>
      <c r="N15" s="62"/>
      <c r="O15" s="56">
        <f t="shared" si="1"/>
        <v>0</v>
      </c>
    </row>
    <row r="16" spans="1:15" ht="12.75">
      <c r="A16" s="2" t="s">
        <v>46</v>
      </c>
      <c r="B16" s="2" t="s">
        <v>47</v>
      </c>
      <c r="C16" s="54"/>
      <c r="D16" s="55"/>
      <c r="E16" s="56"/>
      <c r="F16" s="54"/>
      <c r="G16" s="55"/>
      <c r="H16" s="56"/>
      <c r="I16" s="54">
        <f t="shared" si="0"/>
        <v>0</v>
      </c>
      <c r="J16" s="55"/>
      <c r="L16" s="62"/>
      <c r="M16" s="56"/>
      <c r="N16" s="62"/>
      <c r="O16" s="56">
        <f t="shared" si="1"/>
        <v>0</v>
      </c>
    </row>
    <row r="17" spans="1:15" ht="12.75">
      <c r="A17" s="2" t="s">
        <v>48</v>
      </c>
      <c r="B17" s="2" t="s">
        <v>49</v>
      </c>
      <c r="C17" s="54">
        <v>11667</v>
      </c>
      <c r="D17" s="55"/>
      <c r="E17" s="56">
        <f>+C17-D17</f>
        <v>11667</v>
      </c>
      <c r="F17" s="54">
        <v>12656</v>
      </c>
      <c r="G17" s="55"/>
      <c r="H17" s="56">
        <f>+F17-G17</f>
        <v>12656</v>
      </c>
      <c r="I17" s="54">
        <f t="shared" si="0"/>
        <v>24323</v>
      </c>
      <c r="J17" s="55">
        <f>+I17/2</f>
        <v>12161.5</v>
      </c>
      <c r="K17" s="1">
        <f>+J17/1000</f>
        <v>12.1615</v>
      </c>
      <c r="L17" s="62"/>
      <c r="M17" s="56"/>
      <c r="N17" s="62"/>
      <c r="O17" s="56">
        <f t="shared" si="1"/>
        <v>12.1615</v>
      </c>
    </row>
    <row r="18" spans="1:15" ht="12.75">
      <c r="A18" s="2" t="s">
        <v>50</v>
      </c>
      <c r="B18" s="2" t="s">
        <v>51</v>
      </c>
      <c r="C18" s="54">
        <v>32130</v>
      </c>
      <c r="D18" s="55">
        <v>14462</v>
      </c>
      <c r="E18" s="56">
        <f>+C18-D18</f>
        <v>17668</v>
      </c>
      <c r="F18" s="54">
        <v>17077</v>
      </c>
      <c r="G18" s="55">
        <v>2684</v>
      </c>
      <c r="H18" s="56">
        <f>+F18-G18</f>
        <v>14393</v>
      </c>
      <c r="I18" s="54">
        <f t="shared" si="0"/>
        <v>32061</v>
      </c>
      <c r="J18" s="55">
        <f>+I18/2</f>
        <v>16030.5</v>
      </c>
      <c r="K18" s="1">
        <f>+J18/1000</f>
        <v>16.0305</v>
      </c>
      <c r="L18" s="62"/>
      <c r="M18" s="56"/>
      <c r="N18" s="62"/>
      <c r="O18" s="56">
        <f t="shared" si="1"/>
        <v>16.0305</v>
      </c>
    </row>
    <row r="19" spans="1:15" ht="12.75">
      <c r="A19" s="2" t="s">
        <v>52</v>
      </c>
      <c r="B19" s="2" t="s">
        <v>53</v>
      </c>
      <c r="C19" s="54"/>
      <c r="D19" s="55"/>
      <c r="E19" s="56"/>
      <c r="F19" s="54"/>
      <c r="G19" s="55"/>
      <c r="H19" s="56"/>
      <c r="I19" s="54">
        <f t="shared" si="0"/>
        <v>0</v>
      </c>
      <c r="J19" s="55"/>
      <c r="L19" s="62"/>
      <c r="M19" s="56"/>
      <c r="N19" s="62"/>
      <c r="O19" s="56">
        <f t="shared" si="1"/>
        <v>0</v>
      </c>
    </row>
    <row r="20" spans="1:15" ht="12.75">
      <c r="A20" s="18" t="s">
        <v>54</v>
      </c>
      <c r="B20" s="2" t="s">
        <v>55</v>
      </c>
      <c r="C20" s="54"/>
      <c r="D20" s="55"/>
      <c r="E20" s="56"/>
      <c r="F20" s="54"/>
      <c r="G20" s="55"/>
      <c r="H20" s="56"/>
      <c r="I20" s="54">
        <f t="shared" si="0"/>
        <v>0</v>
      </c>
      <c r="J20" s="55"/>
      <c r="L20" s="62"/>
      <c r="M20" s="56"/>
      <c r="N20" s="62"/>
      <c r="O20" s="56">
        <f t="shared" si="1"/>
        <v>0</v>
      </c>
    </row>
    <row r="21" spans="1:15" ht="12.75">
      <c r="A21" s="2" t="s">
        <v>56</v>
      </c>
      <c r="B21" s="2" t="s">
        <v>57</v>
      </c>
      <c r="C21" s="54"/>
      <c r="D21" s="55"/>
      <c r="E21" s="56"/>
      <c r="F21" s="54"/>
      <c r="G21" s="55"/>
      <c r="H21" s="56"/>
      <c r="I21" s="54">
        <f t="shared" si="0"/>
        <v>0</v>
      </c>
      <c r="J21" s="55"/>
      <c r="L21" s="62"/>
      <c r="M21" s="56"/>
      <c r="N21" s="62"/>
      <c r="O21" s="56">
        <f t="shared" si="1"/>
        <v>0</v>
      </c>
    </row>
    <row r="22" spans="1:15" ht="12.75">
      <c r="A22" s="2" t="s">
        <v>58</v>
      </c>
      <c r="B22" s="2" t="s">
        <v>59</v>
      </c>
      <c r="C22" s="54"/>
      <c r="D22" s="55"/>
      <c r="E22" s="56">
        <f>+C22-D22</f>
        <v>0</v>
      </c>
      <c r="F22" s="54"/>
      <c r="G22" s="55"/>
      <c r="H22" s="56">
        <f>+F22-G22</f>
        <v>0</v>
      </c>
      <c r="I22" s="54">
        <f t="shared" si="0"/>
        <v>0</v>
      </c>
      <c r="J22" s="55">
        <f>+I22/2</f>
        <v>0</v>
      </c>
      <c r="K22" s="1">
        <f>+J22/1000</f>
        <v>0</v>
      </c>
      <c r="L22" s="62"/>
      <c r="M22" s="56"/>
      <c r="N22" s="62"/>
      <c r="O22" s="56">
        <f t="shared" si="1"/>
        <v>0</v>
      </c>
    </row>
    <row r="23" spans="1:15" ht="12.75">
      <c r="A23" s="2" t="s">
        <v>60</v>
      </c>
      <c r="B23" s="2" t="s">
        <v>61</v>
      </c>
      <c r="C23" s="54">
        <v>92908</v>
      </c>
      <c r="D23" s="55">
        <v>2453</v>
      </c>
      <c r="E23" s="56">
        <f>+C23-D23</f>
        <v>90455</v>
      </c>
      <c r="F23" s="54">
        <v>107595</v>
      </c>
      <c r="G23" s="55">
        <v>5266</v>
      </c>
      <c r="H23" s="56">
        <f>+F23-G23</f>
        <v>102329</v>
      </c>
      <c r="I23" s="54">
        <f t="shared" si="0"/>
        <v>192784</v>
      </c>
      <c r="J23" s="55">
        <f>+I23/2</f>
        <v>96392</v>
      </c>
      <c r="K23" s="1">
        <f>+J23/1000</f>
        <v>96.392</v>
      </c>
      <c r="L23" s="62"/>
      <c r="M23" s="56"/>
      <c r="N23" s="62"/>
      <c r="O23" s="56">
        <f t="shared" si="1"/>
        <v>96.392</v>
      </c>
    </row>
    <row r="24" spans="1:15" ht="12.75">
      <c r="A24" s="18" t="s">
        <v>62</v>
      </c>
      <c r="B24" s="2" t="s">
        <v>63</v>
      </c>
      <c r="C24" s="54"/>
      <c r="D24" s="55"/>
      <c r="E24" s="56"/>
      <c r="F24" s="54"/>
      <c r="G24" s="55"/>
      <c r="H24" s="56"/>
      <c r="I24" s="54"/>
      <c r="J24" s="55"/>
      <c r="K24" s="149">
        <v>194.9</v>
      </c>
      <c r="L24" s="62"/>
      <c r="M24" s="56">
        <f>470*1.05</f>
        <v>493.5</v>
      </c>
      <c r="N24" s="62"/>
      <c r="O24" s="56">
        <f t="shared" si="1"/>
        <v>688.4</v>
      </c>
    </row>
    <row r="25" spans="1:15" ht="12.75">
      <c r="A25" s="2" t="s">
        <v>64</v>
      </c>
      <c r="B25" s="2" t="s">
        <v>65</v>
      </c>
      <c r="C25" s="54"/>
      <c r="D25" s="55"/>
      <c r="E25" s="56">
        <f>+C25-D25</f>
        <v>0</v>
      </c>
      <c r="F25" s="54">
        <f>904068*1.05</f>
        <v>949271.4</v>
      </c>
      <c r="G25" s="55"/>
      <c r="H25" s="56">
        <f>+F25-G25</f>
        <v>949271.4</v>
      </c>
      <c r="I25" s="54">
        <f t="shared" si="0"/>
        <v>949271.4</v>
      </c>
      <c r="J25" s="55">
        <f>+I25</f>
        <v>949271.4</v>
      </c>
      <c r="K25" s="1">
        <f>+J25/1000</f>
        <v>949.2714</v>
      </c>
      <c r="L25" s="62"/>
      <c r="M25" s="56"/>
      <c r="N25" s="62"/>
      <c r="O25" s="56">
        <f t="shared" si="1"/>
        <v>949.2714</v>
      </c>
    </row>
    <row r="26" spans="1:15" ht="12.75">
      <c r="A26" s="2" t="s">
        <v>66</v>
      </c>
      <c r="B26" s="2"/>
      <c r="C26" s="57">
        <f>SUM(C10:C25)</f>
        <v>524686</v>
      </c>
      <c r="D26" s="58">
        <f aca="true" t="shared" si="2" ref="D26:K26">SUM(D10:D25)</f>
        <v>131143</v>
      </c>
      <c r="E26" s="59">
        <f t="shared" si="2"/>
        <v>393543</v>
      </c>
      <c r="F26" s="57">
        <f t="shared" si="2"/>
        <v>1421813.4</v>
      </c>
      <c r="G26" s="58">
        <f t="shared" si="2"/>
        <v>108714</v>
      </c>
      <c r="H26" s="59">
        <f t="shared" si="2"/>
        <v>1313099.4</v>
      </c>
      <c r="I26" s="57">
        <f t="shared" si="2"/>
        <v>1706642.4</v>
      </c>
      <c r="J26" s="58">
        <f t="shared" si="2"/>
        <v>1327956.9</v>
      </c>
      <c r="K26" s="59">
        <f t="shared" si="2"/>
        <v>1522.8569</v>
      </c>
      <c r="L26" s="103"/>
      <c r="M26" s="65">
        <f>+M24</f>
        <v>493.5</v>
      </c>
      <c r="N26" s="103"/>
      <c r="O26" s="59">
        <f>SUM(O10:O25)</f>
        <v>2016.3569000000002</v>
      </c>
    </row>
    <row r="27" ht="12.75">
      <c r="G27" s="17"/>
    </row>
    <row r="28" spans="5:11" ht="12.75">
      <c r="E28" s="55"/>
      <c r="F28" s="55"/>
      <c r="K28" s="131"/>
    </row>
    <row r="29" spans="5:6" ht="12.75">
      <c r="E29" s="55"/>
      <c r="F29" s="55"/>
    </row>
  </sheetData>
  <sheetProtection/>
  <printOptions/>
  <pageMargins left="0.75" right="0.75" top="1" bottom="1" header="0.5" footer="0.5"/>
  <pageSetup fitToHeight="1" fitToWidth="1" horizontalDpi="600" verticalDpi="600" orientation="landscape" scale="85" r:id="rId3"/>
  <headerFooter alignWithMargins="0">
    <oddHeader>&amp;C&amp;A--FY02</oddHeader>
    <oddFooter>&amp;L&amp;8&amp;F
&amp;A&amp;CPage &amp;P</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6:AC33"/>
  <sheetViews>
    <sheetView zoomScalePageLayoutView="0" workbookViewId="0" topLeftCell="E1">
      <selection activeCell="O12" sqref="O12"/>
    </sheetView>
  </sheetViews>
  <sheetFormatPr defaultColWidth="8.8515625" defaultRowHeight="12.75"/>
  <cols>
    <col min="1" max="1" width="3.7109375" style="1" customWidth="1"/>
    <col min="2" max="2" width="20.28125" style="1" customWidth="1"/>
    <col min="3" max="3" width="10.8515625" style="1" customWidth="1"/>
    <col min="4" max="4" width="11.140625" style="1" customWidth="1"/>
    <col min="5" max="5" width="8.8515625" style="1" customWidth="1"/>
    <col min="6" max="6" width="10.421875" style="1" customWidth="1"/>
    <col min="7" max="7" width="2.8515625" style="1" customWidth="1"/>
    <col min="8" max="8" width="10.421875" style="1" customWidth="1"/>
    <col min="9" max="9" width="11.421875" style="1" bestFit="1" customWidth="1"/>
    <col min="10" max="10" width="1.28515625" style="1" customWidth="1"/>
    <col min="11" max="13" width="8.8515625" style="1" customWidth="1"/>
    <col min="14" max="14" width="1.7109375" style="1" customWidth="1"/>
    <col min="15" max="15" width="8.8515625" style="1" bestFit="1" customWidth="1"/>
    <col min="16" max="16" width="1.28515625" style="1" customWidth="1"/>
    <col min="17" max="17" width="10.7109375" style="1" bestFit="1" customWidth="1"/>
    <col min="18" max="18" width="1.421875" style="1" customWidth="1"/>
    <col min="19" max="19" width="10.421875" style="1" customWidth="1"/>
    <col min="20" max="20" width="1.57421875" style="1" customWidth="1"/>
    <col min="21" max="21" width="8.7109375" style="1" bestFit="1" customWidth="1"/>
    <col min="22" max="22" width="1.421875" style="1" customWidth="1"/>
    <col min="23" max="23" width="9.8515625" style="1" customWidth="1"/>
    <col min="24" max="24" width="3.00390625" style="1" customWidth="1"/>
    <col min="25" max="25" width="8.8515625" style="1" customWidth="1"/>
    <col min="26" max="26" width="2.8515625" style="1" customWidth="1"/>
    <col min="27" max="29" width="8.8515625" style="1" hidden="1" customWidth="1"/>
    <col min="30" max="16384" width="8.8515625" style="1" customWidth="1"/>
  </cols>
  <sheetData>
    <row r="1" ht="12.75"/>
    <row r="2" ht="12.75"/>
    <row r="3" ht="12.75"/>
    <row r="4" ht="12.75"/>
    <row r="5" ht="12.75"/>
    <row r="6" spans="1:23" ht="13.5" thickBot="1">
      <c r="A6" s="2" t="s">
        <v>9</v>
      </c>
      <c r="B6" s="2"/>
      <c r="C6" s="3" t="s">
        <v>96</v>
      </c>
      <c r="D6" s="41"/>
      <c r="E6" s="41"/>
      <c r="F6" s="41"/>
      <c r="G6" s="41"/>
      <c r="H6" s="42"/>
      <c r="I6" s="42"/>
      <c r="J6" s="40"/>
      <c r="K6" s="3" t="s">
        <v>97</v>
      </c>
      <c r="L6" s="4"/>
      <c r="M6" s="41"/>
      <c r="N6" s="42"/>
      <c r="O6" s="42"/>
      <c r="P6" s="40"/>
      <c r="Q6" s="64"/>
      <c r="R6" s="105"/>
      <c r="S6" s="40"/>
      <c r="T6" s="40"/>
      <c r="U6" s="40"/>
      <c r="V6" s="64"/>
      <c r="W6" s="64"/>
    </row>
    <row r="7" spans="1:27" ht="13.5" thickTop="1">
      <c r="A7" s="2"/>
      <c r="B7" s="6"/>
      <c r="C7" s="35" t="s">
        <v>98</v>
      </c>
      <c r="D7" s="36"/>
      <c r="E7"/>
      <c r="F7"/>
      <c r="G7"/>
      <c r="H7" s="36"/>
      <c r="I7" s="24"/>
      <c r="J7" s="37"/>
      <c r="K7" s="35" t="s">
        <v>18</v>
      </c>
      <c r="L7" s="36"/>
      <c r="M7" s="36" t="s">
        <v>99</v>
      </c>
      <c r="N7" s="36"/>
      <c r="O7" s="38"/>
      <c r="P7" s="36"/>
      <c r="Q7" s="44" t="s">
        <v>100</v>
      </c>
      <c r="R7" s="44"/>
      <c r="S7" s="44" t="s">
        <v>101</v>
      </c>
      <c r="T7" s="44"/>
      <c r="U7" s="44"/>
      <c r="V7" s="61"/>
      <c r="W7" s="81"/>
      <c r="Y7" s="152" t="s">
        <v>135</v>
      </c>
      <c r="AA7" s="61" t="s">
        <v>148</v>
      </c>
    </row>
    <row r="8" spans="1:27" ht="12.75">
      <c r="A8" s="2"/>
      <c r="B8" s="6"/>
      <c r="C8" s="15" t="s">
        <v>102</v>
      </c>
      <c r="D8" s="12" t="s">
        <v>103</v>
      </c>
      <c r="E8" s="12" t="s">
        <v>104</v>
      </c>
      <c r="F8" s="12" t="s">
        <v>105</v>
      </c>
      <c r="G8" s="12"/>
      <c r="H8" s="101" t="s">
        <v>6</v>
      </c>
      <c r="I8" s="14" t="s">
        <v>106</v>
      </c>
      <c r="J8" s="6"/>
      <c r="K8" s="43" t="s">
        <v>67</v>
      </c>
      <c r="L8" s="101" t="s">
        <v>6</v>
      </c>
      <c r="M8" s="21" t="s">
        <v>107</v>
      </c>
      <c r="N8" s="12"/>
      <c r="O8" s="14" t="s">
        <v>27</v>
      </c>
      <c r="P8" s="12"/>
      <c r="Q8" s="45" t="s">
        <v>108</v>
      </c>
      <c r="R8" s="45"/>
      <c r="S8" s="45" t="s">
        <v>109</v>
      </c>
      <c r="T8" s="45"/>
      <c r="U8" s="45" t="s">
        <v>115</v>
      </c>
      <c r="V8" s="62"/>
      <c r="W8" s="45" t="s">
        <v>27</v>
      </c>
      <c r="Y8" s="153" t="s">
        <v>27</v>
      </c>
      <c r="AA8" s="62" t="s">
        <v>149</v>
      </c>
    </row>
    <row r="9" spans="1:27" ht="12.75">
      <c r="A9" s="7" t="s">
        <v>25</v>
      </c>
      <c r="B9" s="7"/>
      <c r="C9" s="70" t="s">
        <v>110</v>
      </c>
      <c r="D9" s="39"/>
      <c r="E9" s="12" t="s">
        <v>24</v>
      </c>
      <c r="F9" s="12" t="s">
        <v>23</v>
      </c>
      <c r="G9" s="12"/>
      <c r="H9" s="13" t="s">
        <v>82</v>
      </c>
      <c r="I9" s="14" t="s">
        <v>26</v>
      </c>
      <c r="J9" s="39"/>
      <c r="K9" s="16" t="s">
        <v>26</v>
      </c>
      <c r="L9" s="13" t="s">
        <v>82</v>
      </c>
      <c r="M9" s="13" t="s">
        <v>111</v>
      </c>
      <c r="N9" s="13"/>
      <c r="O9" s="97" t="s">
        <v>67</v>
      </c>
      <c r="P9" s="13"/>
      <c r="Q9" s="46" t="s">
        <v>26</v>
      </c>
      <c r="R9" s="46"/>
      <c r="S9" s="46" t="s">
        <v>112</v>
      </c>
      <c r="T9" s="46"/>
      <c r="U9" s="46" t="s">
        <v>116</v>
      </c>
      <c r="V9" s="63"/>
      <c r="W9" s="46" t="s">
        <v>26</v>
      </c>
      <c r="Y9" s="154" t="s">
        <v>26</v>
      </c>
      <c r="AA9" s="63"/>
    </row>
    <row r="10" spans="1:29" ht="12.75">
      <c r="A10" s="66" t="s">
        <v>34</v>
      </c>
      <c r="B10" s="67" t="s">
        <v>35</v>
      </c>
      <c r="C10" s="51">
        <f>+'UG Distribution'!E10</f>
        <v>3936.157759355613</v>
      </c>
      <c r="D10" s="55">
        <f>+'UG Distribution'!H10+'UG Distribution'!J10</f>
        <v>7.632</v>
      </c>
      <c r="E10" s="52">
        <f>+'UG Distribution'!S10</f>
        <v>2908.237641553536</v>
      </c>
      <c r="F10" s="52">
        <f>-'UG Distribution'!O10</f>
        <v>-39.264</v>
      </c>
      <c r="G10" s="52"/>
      <c r="H10" s="52">
        <f>+'UG Summer'!E10</f>
        <v>128.17842763724286</v>
      </c>
      <c r="I10" s="53">
        <f>SUM(C10:H10)</f>
        <v>6940.941828546392</v>
      </c>
      <c r="K10" s="51">
        <f>+'Grad Distribution'!I10</f>
        <v>239.3665234570543</v>
      </c>
      <c r="L10" s="52">
        <f>+'Grad Summer'!E10</f>
        <v>17.273132767755886</v>
      </c>
      <c r="M10" s="52"/>
      <c r="N10" s="52"/>
      <c r="O10" s="53">
        <f>+N10+M10+K10+L10</f>
        <v>256.6396562248102</v>
      </c>
      <c r="Q10" s="61"/>
      <c r="R10" s="62"/>
      <c r="S10" s="55">
        <f>+Extramural!O10</f>
        <v>81.069</v>
      </c>
      <c r="T10" s="61"/>
      <c r="U10" s="55"/>
      <c r="V10" s="62"/>
      <c r="W10" s="62">
        <f aca="true" t="shared" si="0" ref="W10:W24">+Q10+O10+I10+S10</f>
        <v>7278.650484771202</v>
      </c>
      <c r="Y10" s="62">
        <v>6905.938123183349</v>
      </c>
      <c r="AA10" s="62">
        <f>+W10-Y10</f>
        <v>372.7123615878536</v>
      </c>
      <c r="AB10" s="1">
        <f>+Y10*1.044</f>
        <v>7209.799400603416</v>
      </c>
      <c r="AC10" s="1">
        <f>+W10-AB10</f>
        <v>68.85108416778621</v>
      </c>
    </row>
    <row r="11" spans="1:29" ht="12.75">
      <c r="A11" s="68" t="s">
        <v>36</v>
      </c>
      <c r="B11" s="5" t="s">
        <v>37</v>
      </c>
      <c r="C11" s="54">
        <f>+'UG Distribution'!E11</f>
        <v>6325.888546722343</v>
      </c>
      <c r="D11" s="55">
        <f>+'UG Distribution'!H11+'UG Distribution'!J11</f>
        <v>0</v>
      </c>
      <c r="E11" s="55">
        <f>+'UG Distribution'!S11</f>
        <v>6161.520427020203</v>
      </c>
      <c r="F11" s="55">
        <f>-'UG Distribution'!O11</f>
        <v>-0.931</v>
      </c>
      <c r="G11" s="55"/>
      <c r="H11" s="55">
        <f>+'UG Summer'!E11</f>
        <v>733.7419916472808</v>
      </c>
      <c r="I11" s="56">
        <f aca="true" t="shared" si="1" ref="I11:I25">SUM(C11:H11)</f>
        <v>13220.219965389826</v>
      </c>
      <c r="K11" s="187">
        <f>+'Grad Distribution'!I11</f>
        <v>261.8225971088039</v>
      </c>
      <c r="L11" s="165">
        <f>+'Grad Summer'!E11</f>
        <v>70.29370383908943</v>
      </c>
      <c r="M11" s="55">
        <f>+'Grad Distribution'!K11</f>
        <v>10738.35</v>
      </c>
      <c r="N11" s="55"/>
      <c r="O11" s="56">
        <f aca="true" t="shared" si="2" ref="O11:O25">+N11+M11+K11+L11</f>
        <v>11070.466300947894</v>
      </c>
      <c r="Q11" s="62"/>
      <c r="R11" s="62"/>
      <c r="S11" s="55">
        <f>+Extramural!O11</f>
        <v>0</v>
      </c>
      <c r="T11" s="62"/>
      <c r="U11" s="55">
        <v>1843</v>
      </c>
      <c r="V11" s="62"/>
      <c r="W11" s="62">
        <f>+Q11+O11+I11+S11+U11</f>
        <v>26133.686266337718</v>
      </c>
      <c r="Y11" s="62">
        <v>23413.901909912107</v>
      </c>
      <c r="AA11" s="62">
        <f aca="true" t="shared" si="3" ref="AA11:AA26">+W11-Y11</f>
        <v>2719.784356425611</v>
      </c>
      <c r="AB11" s="1">
        <f aca="true" t="shared" si="4" ref="AB11:AB26">+Y11*1.044</f>
        <v>24444.11359394824</v>
      </c>
      <c r="AC11" s="1">
        <f aca="true" t="shared" si="5" ref="AC11:AC26">+W11-AB11</f>
        <v>1689.5726723894768</v>
      </c>
    </row>
    <row r="12" spans="1:29" ht="12.75">
      <c r="A12" s="68" t="s">
        <v>38</v>
      </c>
      <c r="B12" s="5" t="s">
        <v>39</v>
      </c>
      <c r="C12" s="54">
        <f>+'UG Distribution'!E12</f>
        <v>1109.5100696462337</v>
      </c>
      <c r="D12" s="55">
        <f>+'UG Distribution'!H12+'UG Distribution'!J12</f>
        <v>0</v>
      </c>
      <c r="E12" s="55">
        <f>+'UG Distribution'!S12</f>
        <v>1424.19620667048</v>
      </c>
      <c r="F12" s="55">
        <f>-'UG Distribution'!O12</f>
        <v>-0.591</v>
      </c>
      <c r="G12" s="55"/>
      <c r="H12" s="55">
        <f>+'UG Summer'!E12</f>
        <v>115.24996702873995</v>
      </c>
      <c r="I12" s="56">
        <f t="shared" si="1"/>
        <v>2648.3652433454536</v>
      </c>
      <c r="K12" s="54">
        <f>+'Grad Distribution'!I12</f>
        <v>679.610880389467</v>
      </c>
      <c r="L12" s="55">
        <f>+'Grad Summer'!E12</f>
        <v>120.51833035389062</v>
      </c>
      <c r="M12" s="55"/>
      <c r="N12" s="55"/>
      <c r="O12" s="56">
        <f t="shared" si="2"/>
        <v>800.1292107433576</v>
      </c>
      <c r="Q12" s="62"/>
      <c r="R12" s="62"/>
      <c r="S12" s="55">
        <f>+Extramural!O12</f>
        <v>165.3435</v>
      </c>
      <c r="T12" s="62"/>
      <c r="U12" s="55"/>
      <c r="V12" s="62"/>
      <c r="W12" s="62">
        <f t="shared" si="0"/>
        <v>3613.837954088811</v>
      </c>
      <c r="Y12" s="62">
        <v>3415.894197828066</v>
      </c>
      <c r="AA12" s="62">
        <f t="shared" si="3"/>
        <v>197.94375626074498</v>
      </c>
      <c r="AB12" s="1">
        <f t="shared" si="4"/>
        <v>3566.193542532501</v>
      </c>
      <c r="AC12" s="1">
        <f t="shared" si="5"/>
        <v>47.64441155630993</v>
      </c>
    </row>
    <row r="13" spans="1:29" ht="12.75">
      <c r="A13" s="68" t="s">
        <v>40</v>
      </c>
      <c r="B13" s="5" t="s">
        <v>41</v>
      </c>
      <c r="C13" s="54">
        <f>+'UG Distribution'!E13</f>
        <v>10403.348898194661</v>
      </c>
      <c r="D13" s="55">
        <f>+'UG Distribution'!H13+'UG Distribution'!J13</f>
        <v>2557.344</v>
      </c>
      <c r="E13" s="55">
        <f>+'UG Distribution'!S13</f>
        <v>7599.208526658249</v>
      </c>
      <c r="F13" s="55">
        <f>-'UG Distribution'!O13</f>
        <v>-83.715</v>
      </c>
      <c r="G13" s="55"/>
      <c r="H13" s="55">
        <f>+'UG Summer'!E13</f>
        <v>568.575722162182</v>
      </c>
      <c r="I13" s="56">
        <f t="shared" si="1"/>
        <v>21044.762147015095</v>
      </c>
      <c r="K13" s="54">
        <f>+'Grad Distribution'!I13</f>
        <v>1715.6844646930922</v>
      </c>
      <c r="L13" s="55">
        <f>+'Grad Summer'!E13</f>
        <v>126.68521197529302</v>
      </c>
      <c r="M13" s="55"/>
      <c r="N13" s="55"/>
      <c r="O13" s="56">
        <f t="shared" si="2"/>
        <v>1842.3696766683852</v>
      </c>
      <c r="Q13" s="62"/>
      <c r="R13" s="62"/>
      <c r="S13" s="55">
        <f>+Extramural!O13</f>
        <v>4.884</v>
      </c>
      <c r="T13" s="62"/>
      <c r="U13" s="55"/>
      <c r="V13" s="62"/>
      <c r="W13" s="62">
        <f t="shared" si="0"/>
        <v>22892.01582368348</v>
      </c>
      <c r="Y13" s="62">
        <v>21975.582125849116</v>
      </c>
      <c r="AA13" s="62">
        <f t="shared" si="3"/>
        <v>916.4336978343636</v>
      </c>
      <c r="AB13" s="1">
        <f t="shared" si="4"/>
        <v>22942.507739386478</v>
      </c>
      <c r="AC13" s="1">
        <f t="shared" si="5"/>
        <v>-50.491915702998085</v>
      </c>
    </row>
    <row r="14" spans="1:29" ht="12.75">
      <c r="A14" s="68" t="s">
        <v>42</v>
      </c>
      <c r="B14" s="5" t="s">
        <v>43</v>
      </c>
      <c r="C14" s="54">
        <f>+'UG Distribution'!E14</f>
        <v>4213.341557608974</v>
      </c>
      <c r="D14" s="55">
        <f>+'UG Distribution'!H14+'UG Distribution'!J14</f>
        <v>495.424</v>
      </c>
      <c r="E14" s="55">
        <f>+'UG Distribution'!S14</f>
        <v>3957.132132457875</v>
      </c>
      <c r="F14" s="55">
        <f>-'UG Distribution'!O14</f>
        <v>-6.484</v>
      </c>
      <c r="G14" s="55"/>
      <c r="H14" s="55">
        <f>+'UG Summer'!E14</f>
        <v>184.80093693330647</v>
      </c>
      <c r="I14" s="56">
        <f t="shared" si="1"/>
        <v>8844.214627000156</v>
      </c>
      <c r="K14" s="54">
        <f>+'Grad Distribution'!I14</f>
        <v>1055.0557417717841</v>
      </c>
      <c r="L14" s="55">
        <f>+'Grad Summer'!E14</f>
        <v>61.06897528268108</v>
      </c>
      <c r="M14" s="55"/>
      <c r="N14" s="55"/>
      <c r="O14" s="56">
        <f t="shared" si="2"/>
        <v>1116.1247170544652</v>
      </c>
      <c r="Q14" s="62"/>
      <c r="R14" s="62"/>
      <c r="S14" s="55">
        <f>+Extramural!O14</f>
        <v>2.805</v>
      </c>
      <c r="T14" s="62"/>
      <c r="U14" s="55"/>
      <c r="V14" s="62"/>
      <c r="W14" s="62">
        <f t="shared" si="0"/>
        <v>9963.14434405462</v>
      </c>
      <c r="Y14" s="62">
        <v>9579.19642558058</v>
      </c>
      <c r="AA14" s="62">
        <f t="shared" si="3"/>
        <v>383.9479184740412</v>
      </c>
      <c r="AB14" s="1">
        <f t="shared" si="4"/>
        <v>10000.681068306125</v>
      </c>
      <c r="AC14" s="1">
        <f t="shared" si="5"/>
        <v>-37.53672425150398</v>
      </c>
    </row>
    <row r="15" spans="1:29" ht="12.75">
      <c r="A15" s="68" t="s">
        <v>44</v>
      </c>
      <c r="B15" s="5" t="s">
        <v>45</v>
      </c>
      <c r="C15" s="54">
        <f>+'UG Distribution'!E15</f>
        <v>958.2623522656895</v>
      </c>
      <c r="D15" s="55">
        <f>+'UG Distribution'!H15+'UG Distribution'!J15</f>
        <v>0</v>
      </c>
      <c r="E15" s="55">
        <f>+'UG Distribution'!S15</f>
        <v>895.7414682576469</v>
      </c>
      <c r="F15" s="55">
        <f>-'UG Distribution'!O15</f>
        <v>-2.0455</v>
      </c>
      <c r="G15" s="55"/>
      <c r="H15" s="55">
        <f>+'UG Summer'!E15</f>
        <v>46.182950195079954</v>
      </c>
      <c r="I15" s="56">
        <f t="shared" si="1"/>
        <v>1898.1412707184163</v>
      </c>
      <c r="K15" s="54">
        <f>+'Grad Distribution'!I15</f>
        <v>71.64705557317599</v>
      </c>
      <c r="L15" s="55">
        <f>+'Grad Summer'!E15</f>
        <v>5.030314753149728</v>
      </c>
      <c r="M15" s="55"/>
      <c r="N15" s="55"/>
      <c r="O15" s="56">
        <f t="shared" si="2"/>
        <v>76.67737032632571</v>
      </c>
      <c r="Q15" s="62"/>
      <c r="R15" s="62"/>
      <c r="S15" s="55">
        <f>+Extramural!O15</f>
        <v>0</v>
      </c>
      <c r="T15" s="62"/>
      <c r="U15" s="55"/>
      <c r="V15" s="62"/>
      <c r="W15" s="62">
        <f t="shared" si="0"/>
        <v>1974.818641044742</v>
      </c>
      <c r="Y15" s="62">
        <v>1981.6967931672236</v>
      </c>
      <c r="AA15" s="62">
        <f t="shared" si="3"/>
        <v>-6.8781521224816515</v>
      </c>
      <c r="AB15" s="1">
        <f t="shared" si="4"/>
        <v>2068.8914520665817</v>
      </c>
      <c r="AC15" s="1">
        <f t="shared" si="5"/>
        <v>-94.0728110218397</v>
      </c>
    </row>
    <row r="16" spans="1:29" ht="12.75">
      <c r="A16" s="68" t="s">
        <v>46</v>
      </c>
      <c r="B16" s="5" t="s">
        <v>47</v>
      </c>
      <c r="C16" s="54">
        <f>+'UG Distribution'!E16</f>
        <v>0</v>
      </c>
      <c r="D16" s="55">
        <f>+'UG Distribution'!H16+'UG Distribution'!J16</f>
        <v>0</v>
      </c>
      <c r="E16" s="55">
        <f>+'UG Distribution'!S16</f>
        <v>13.091143671500918</v>
      </c>
      <c r="F16" s="55">
        <f>-'UG Distribution'!O16</f>
        <v>0</v>
      </c>
      <c r="G16" s="55"/>
      <c r="H16" s="55">
        <f>+'UG Summer'!E16</f>
        <v>0.6222253768798197</v>
      </c>
      <c r="I16" s="56">
        <f t="shared" si="1"/>
        <v>13.713369048380738</v>
      </c>
      <c r="K16" s="54"/>
      <c r="L16" s="55"/>
      <c r="M16" s="55"/>
      <c r="N16" s="55"/>
      <c r="O16" s="56"/>
      <c r="Q16" s="62">
        <f>+'Prof. Tuition'!F16</f>
        <v>6587.900000000001</v>
      </c>
      <c r="R16" s="62"/>
      <c r="S16" s="55">
        <f>+Extramural!O16</f>
        <v>0</v>
      </c>
      <c r="T16" s="62"/>
      <c r="U16" s="55"/>
      <c r="V16" s="62"/>
      <c r="W16" s="62">
        <f t="shared" si="0"/>
        <v>6601.613369048381</v>
      </c>
      <c r="Y16" s="62">
        <v>6290.8949903288685</v>
      </c>
      <c r="AA16" s="62">
        <f t="shared" si="3"/>
        <v>310.71837871951266</v>
      </c>
      <c r="AB16" s="1">
        <f t="shared" si="4"/>
        <v>6567.694369903339</v>
      </c>
      <c r="AC16" s="1">
        <f t="shared" si="5"/>
        <v>33.91899914504211</v>
      </c>
    </row>
    <row r="17" spans="1:29" ht="12.75">
      <c r="A17" s="68" t="s">
        <v>48</v>
      </c>
      <c r="B17" s="5" t="s">
        <v>49</v>
      </c>
      <c r="C17" s="54">
        <f>+'UG Distribution'!E17</f>
        <v>24769.735448542066</v>
      </c>
      <c r="D17" s="55">
        <f>+'UG Distribution'!H17+'UG Distribution'!J17</f>
        <v>1749.051</v>
      </c>
      <c r="E17" s="55">
        <f>+'UG Distribution'!S17</f>
        <v>28667.400519458646</v>
      </c>
      <c r="F17" s="55">
        <f>-'UG Distribution'!O17</f>
        <v>-316.2945</v>
      </c>
      <c r="G17" s="55"/>
      <c r="H17" s="55">
        <f>+'UG Summer'!E17</f>
        <v>1795.9498461341198</v>
      </c>
      <c r="I17" s="56">
        <f t="shared" si="1"/>
        <v>56665.842314134825</v>
      </c>
      <c r="K17" s="54">
        <f>+'Grad Distribution'!I17</f>
        <v>1248.2536999743973</v>
      </c>
      <c r="L17" s="55">
        <f>+'Grad Summer'!E17</f>
        <v>71.30304678155605</v>
      </c>
      <c r="M17" s="55"/>
      <c r="N17" s="55"/>
      <c r="O17" s="56">
        <f t="shared" si="2"/>
        <v>1319.5567467559533</v>
      </c>
      <c r="Q17" s="62"/>
      <c r="R17" s="62"/>
      <c r="S17" s="55">
        <f>+Extramural!O17</f>
        <v>12.1615</v>
      </c>
      <c r="T17" s="62"/>
      <c r="U17" s="55">
        <f>-U11</f>
        <v>-1843</v>
      </c>
      <c r="V17" s="62"/>
      <c r="W17" s="62">
        <f>+Q17+O17+I17+S17+U17</f>
        <v>56154.56056089078</v>
      </c>
      <c r="Y17" s="62">
        <v>54116.20616146148</v>
      </c>
      <c r="AA17" s="62">
        <f t="shared" si="3"/>
        <v>2038.3543994292995</v>
      </c>
      <c r="AB17" s="1">
        <f t="shared" si="4"/>
        <v>56497.31923256579</v>
      </c>
      <c r="AC17" s="1">
        <f t="shared" si="5"/>
        <v>-342.7586716750084</v>
      </c>
    </row>
    <row r="18" spans="1:29" ht="12.75">
      <c r="A18" s="68" t="s">
        <v>50</v>
      </c>
      <c r="B18" s="5" t="s">
        <v>51</v>
      </c>
      <c r="C18" s="54">
        <f>+'UG Distribution'!E18</f>
        <v>2093.802925899249</v>
      </c>
      <c r="D18" s="55">
        <f>+'UG Distribution'!H18</f>
        <v>0</v>
      </c>
      <c r="E18" s="55">
        <f>+'UG Distribution'!S18</f>
        <v>2096.987483216545</v>
      </c>
      <c r="F18" s="55">
        <f>-'UG Distribution'!O18</f>
        <v>-2.704</v>
      </c>
      <c r="G18" s="55"/>
      <c r="H18" s="55">
        <f>+'UG Summer'!E18</f>
        <v>168.34653252248455</v>
      </c>
      <c r="I18" s="56">
        <f t="shared" si="1"/>
        <v>4356.432941638279</v>
      </c>
      <c r="K18" s="54">
        <f>+'Grad Distribution'!I18</f>
        <v>186.4758755937346</v>
      </c>
      <c r="L18" s="55">
        <f>+'Grad Summer'!E18</f>
        <v>19.889671710191504</v>
      </c>
      <c r="M18" s="55"/>
      <c r="N18" s="55"/>
      <c r="O18" s="56">
        <f t="shared" si="2"/>
        <v>206.3655473039261</v>
      </c>
      <c r="Q18" s="62"/>
      <c r="R18" s="62"/>
      <c r="S18" s="55">
        <f>+Extramural!O18</f>
        <v>16.0305</v>
      </c>
      <c r="T18" s="62"/>
      <c r="U18" s="55"/>
      <c r="V18" s="62"/>
      <c r="W18" s="62">
        <f t="shared" si="0"/>
        <v>4578.828988942205</v>
      </c>
      <c r="Y18" s="62">
        <v>4348.413967478812</v>
      </c>
      <c r="AA18" s="62">
        <f t="shared" si="3"/>
        <v>230.4150214633928</v>
      </c>
      <c r="AB18" s="1">
        <f t="shared" si="4"/>
        <v>4539.74418204788</v>
      </c>
      <c r="AC18" s="1">
        <f t="shared" si="5"/>
        <v>39.084806894325084</v>
      </c>
    </row>
    <row r="19" spans="1:29" ht="12.75">
      <c r="A19" s="68" t="s">
        <v>52</v>
      </c>
      <c r="B19" s="5" t="s">
        <v>53</v>
      </c>
      <c r="C19" s="54">
        <f>+'UG Distribution'!E19</f>
        <v>0</v>
      </c>
      <c r="D19" s="55">
        <f>+'UG Distribution'!H19</f>
        <v>0</v>
      </c>
      <c r="E19" s="55">
        <f>+'UG Distribution'!S19</f>
        <v>32.72785917875229</v>
      </c>
      <c r="F19" s="55">
        <f>-'UG Distribution'!O19</f>
        <v>0</v>
      </c>
      <c r="G19" s="55"/>
      <c r="H19" s="55">
        <f>+'UG Summer'!E19</f>
        <v>1.8666761306394595</v>
      </c>
      <c r="I19" s="56">
        <f t="shared" si="1"/>
        <v>34.59453530939175</v>
      </c>
      <c r="K19" s="54">
        <f>+'Grad Distribution'!I19</f>
        <v>60.856545888089386</v>
      </c>
      <c r="L19" s="55">
        <f>+'Grad Summer'!E19</f>
        <v>2.848126244843024</v>
      </c>
      <c r="M19" s="55"/>
      <c r="N19" s="55"/>
      <c r="O19" s="56">
        <f t="shared" si="2"/>
        <v>63.70467213293241</v>
      </c>
      <c r="Q19" s="62">
        <f>+'Prof. Tuition'!F19</f>
        <v>3865.9950000000003</v>
      </c>
      <c r="R19" s="62"/>
      <c r="S19" s="55">
        <f>+Extramural!O19</f>
        <v>0</v>
      </c>
      <c r="T19" s="62"/>
      <c r="U19" s="55"/>
      <c r="V19" s="62"/>
      <c r="W19" s="62">
        <f t="shared" si="0"/>
        <v>3964.2942074423245</v>
      </c>
      <c r="Y19" s="62">
        <v>3776.9959228510174</v>
      </c>
      <c r="AA19" s="62">
        <f t="shared" si="3"/>
        <v>187.29828459130704</v>
      </c>
      <c r="AB19" s="1">
        <f t="shared" si="4"/>
        <v>3943.1837434564623</v>
      </c>
      <c r="AC19" s="1">
        <f t="shared" si="5"/>
        <v>21.110463985862225</v>
      </c>
    </row>
    <row r="20" spans="1:29" ht="12.75">
      <c r="A20" s="69" t="s">
        <v>54</v>
      </c>
      <c r="B20" s="5" t="s">
        <v>55</v>
      </c>
      <c r="C20" s="54">
        <f>+'UG Distribution'!E20</f>
        <v>0</v>
      </c>
      <c r="D20" s="55">
        <f>+'UG Distribution'!H20</f>
        <v>0</v>
      </c>
      <c r="E20" s="55">
        <f>+'UG Distribution'!S20</f>
        <v>159.23105363703158</v>
      </c>
      <c r="F20" s="55">
        <f>-'UG Distribution'!O20</f>
        <v>0</v>
      </c>
      <c r="G20" s="55"/>
      <c r="H20" s="55">
        <f>+'UG Summer'!E20</f>
        <v>0</v>
      </c>
      <c r="I20" s="56">
        <f t="shared" si="1"/>
        <v>159.23105363703158</v>
      </c>
      <c r="K20" s="54">
        <f>+'Grad Distribution'!I20</f>
        <v>0</v>
      </c>
      <c r="L20" s="55">
        <f>+'Grad Summer'!E20</f>
        <v>0</v>
      </c>
      <c r="M20" s="55"/>
      <c r="N20" s="55"/>
      <c r="O20" s="56">
        <f t="shared" si="2"/>
        <v>0</v>
      </c>
      <c r="Q20" s="62"/>
      <c r="R20" s="62"/>
      <c r="S20" s="55">
        <f>+Extramural!O20</f>
        <v>0</v>
      </c>
      <c r="T20" s="62"/>
      <c r="U20" s="55"/>
      <c r="V20" s="62"/>
      <c r="W20" s="62">
        <f t="shared" si="0"/>
        <v>159.23105363703158</v>
      </c>
      <c r="Y20" s="62">
        <v>147.73328388725548</v>
      </c>
      <c r="AA20" s="62">
        <f t="shared" si="3"/>
        <v>11.497769749776097</v>
      </c>
      <c r="AB20" s="1">
        <f t="shared" si="4"/>
        <v>154.23354837829473</v>
      </c>
      <c r="AC20" s="1">
        <f t="shared" si="5"/>
        <v>4.997505258736851</v>
      </c>
    </row>
    <row r="21" spans="1:29" ht="12.75">
      <c r="A21" s="68" t="s">
        <v>56</v>
      </c>
      <c r="B21" s="5" t="s">
        <v>57</v>
      </c>
      <c r="C21" s="54">
        <f>+'UG Distribution'!E21</f>
        <v>368.31844176516665</v>
      </c>
      <c r="D21" s="55">
        <f>+'UG Distribution'!H21</f>
        <v>0</v>
      </c>
      <c r="E21" s="55">
        <f>+'UG Distribution'!S21</f>
        <v>148.01007334717366</v>
      </c>
      <c r="F21" s="55">
        <f>-'UG Distribution'!O21</f>
        <v>0</v>
      </c>
      <c r="G21" s="55"/>
      <c r="H21" s="55">
        <f>+'UG Summer'!E21</f>
        <v>28.138414265565185</v>
      </c>
      <c r="I21" s="56">
        <f t="shared" si="1"/>
        <v>544.4669293779054</v>
      </c>
      <c r="K21" s="54">
        <f>+'Grad Distribution'!I21</f>
        <v>0</v>
      </c>
      <c r="L21" s="55">
        <f>+'Grad Summer'!E21</f>
        <v>0</v>
      </c>
      <c r="M21" s="55"/>
      <c r="N21" s="55"/>
      <c r="O21" s="56">
        <f t="shared" si="2"/>
        <v>0</v>
      </c>
      <c r="Q21" s="62"/>
      <c r="R21" s="62"/>
      <c r="S21" s="55">
        <f>+Extramural!O21</f>
        <v>0</v>
      </c>
      <c r="T21" s="62"/>
      <c r="U21" s="55"/>
      <c r="V21" s="62"/>
      <c r="W21" s="62">
        <f t="shared" si="0"/>
        <v>544.4669293779054</v>
      </c>
      <c r="Y21" s="62">
        <v>491.1033201462559</v>
      </c>
      <c r="AA21" s="62">
        <f t="shared" si="3"/>
        <v>53.36360923164955</v>
      </c>
      <c r="AB21" s="1">
        <f t="shared" si="4"/>
        <v>512.7118662326911</v>
      </c>
      <c r="AC21" s="1">
        <f t="shared" si="5"/>
        <v>31.755063145214308</v>
      </c>
    </row>
    <row r="22" spans="1:29" ht="12.75">
      <c r="A22" s="68" t="s">
        <v>58</v>
      </c>
      <c r="B22" s="5" t="s">
        <v>59</v>
      </c>
      <c r="C22" s="54">
        <f>+'UG Distribution'!E22</f>
        <v>0</v>
      </c>
      <c r="D22" s="55">
        <f>+'UG Distribution'!H22</f>
        <v>0</v>
      </c>
      <c r="E22" s="55">
        <f>+'UG Distribution'!S22</f>
        <v>1.8701633816429886</v>
      </c>
      <c r="F22" s="55">
        <f>-'UG Distribution'!O22</f>
        <v>0</v>
      </c>
      <c r="G22" s="55"/>
      <c r="H22" s="55">
        <f>+'UG Summer'!E22</f>
        <v>0</v>
      </c>
      <c r="I22" s="56">
        <f t="shared" si="1"/>
        <v>1.8701633816429886</v>
      </c>
      <c r="K22" s="54">
        <f>+'Grad Distribution'!I22</f>
        <v>284.5937341368255</v>
      </c>
      <c r="L22" s="55">
        <f>+'Grad Summer'!E22</f>
        <v>2.0470130871590326</v>
      </c>
      <c r="M22" s="55"/>
      <c r="N22" s="55"/>
      <c r="O22" s="56">
        <f t="shared" si="2"/>
        <v>286.64074722398453</v>
      </c>
      <c r="Q22" s="62"/>
      <c r="R22" s="62"/>
      <c r="S22" s="55">
        <f>+Extramural!O22</f>
        <v>0</v>
      </c>
      <c r="T22" s="62"/>
      <c r="U22" s="55"/>
      <c r="V22" s="62"/>
      <c r="W22" s="62">
        <f t="shared" si="0"/>
        <v>288.51091060562754</v>
      </c>
      <c r="Y22" s="62">
        <v>236.90798070132215</v>
      </c>
      <c r="AA22" s="62">
        <f t="shared" si="3"/>
        <v>51.6029299043054</v>
      </c>
      <c r="AB22" s="1">
        <f t="shared" si="4"/>
        <v>247.33193185218033</v>
      </c>
      <c r="AC22" s="1">
        <f t="shared" si="5"/>
        <v>41.17897875344721</v>
      </c>
    </row>
    <row r="23" spans="1:29" ht="12.75">
      <c r="A23" s="68" t="s">
        <v>60</v>
      </c>
      <c r="B23" s="5" t="s">
        <v>61</v>
      </c>
      <c r="C23" s="54">
        <f>+'UG Distribution'!E23</f>
        <v>0</v>
      </c>
      <c r="D23" s="55">
        <f>+'UG Distribution'!H23</f>
        <v>0</v>
      </c>
      <c r="E23" s="55">
        <f>+'UG Distribution'!S23</f>
        <v>88.43201133197559</v>
      </c>
      <c r="F23" s="55">
        <f>-'UG Distribution'!O23</f>
        <v>0</v>
      </c>
      <c r="G23" s="55"/>
      <c r="H23" s="55">
        <f>+'UG Summer'!E23</f>
        <v>0.553089223893173</v>
      </c>
      <c r="I23" s="56">
        <f t="shared" si="1"/>
        <v>88.98510055586875</v>
      </c>
      <c r="K23" s="54">
        <f>+'Grad Distribution'!I23</f>
        <v>892.032635971432</v>
      </c>
      <c r="L23" s="55">
        <f>+'Grad Summer'!E23</f>
        <v>203.46634209255043</v>
      </c>
      <c r="M23" s="55"/>
      <c r="N23" s="55"/>
      <c r="O23" s="56">
        <f t="shared" si="2"/>
        <v>1095.4989780639823</v>
      </c>
      <c r="Q23" s="62"/>
      <c r="R23" s="62"/>
      <c r="S23" s="55">
        <f>+Extramural!O23</f>
        <v>96.392</v>
      </c>
      <c r="T23" s="62"/>
      <c r="U23" s="55"/>
      <c r="V23" s="62"/>
      <c r="W23" s="62">
        <f t="shared" si="0"/>
        <v>1280.8760786198511</v>
      </c>
      <c r="Y23" s="62">
        <v>1188.2951884252277</v>
      </c>
      <c r="AA23" s="62">
        <f t="shared" si="3"/>
        <v>92.58089019462341</v>
      </c>
      <c r="AB23" s="1">
        <f t="shared" si="4"/>
        <v>1240.5801767159378</v>
      </c>
      <c r="AC23" s="1">
        <f t="shared" si="5"/>
        <v>40.29590190391332</v>
      </c>
    </row>
    <row r="24" spans="1:29" ht="12.75">
      <c r="A24" s="69" t="s">
        <v>62</v>
      </c>
      <c r="B24" s="5" t="s">
        <v>63</v>
      </c>
      <c r="C24" s="54"/>
      <c r="D24" s="55">
        <f>+'UG Distribution'!H24</f>
        <v>0</v>
      </c>
      <c r="E24" s="55"/>
      <c r="F24" s="55"/>
      <c r="G24" s="55"/>
      <c r="H24" s="55">
        <f>+'UG Summer'!E24</f>
        <v>198.65</v>
      </c>
      <c r="I24" s="56">
        <f t="shared" si="1"/>
        <v>198.65</v>
      </c>
      <c r="K24" s="54">
        <f>+'Grad Distribution'!I24</f>
        <v>0</v>
      </c>
      <c r="L24" s="55">
        <f>+'Grad Summer'!E24</f>
        <v>40.5</v>
      </c>
      <c r="M24" s="55">
        <f>+'Grad Distribution'!K24</f>
        <v>0</v>
      </c>
      <c r="N24" s="55"/>
      <c r="O24" s="56">
        <f t="shared" si="2"/>
        <v>40.5</v>
      </c>
      <c r="Q24" s="62">
        <f>+'Prof. Tuition'!F24</f>
        <v>4</v>
      </c>
      <c r="R24" s="62"/>
      <c r="S24" s="55">
        <f>+Extramural!O24</f>
        <v>688.4</v>
      </c>
      <c r="T24" s="62"/>
      <c r="U24" s="55"/>
      <c r="V24" s="62"/>
      <c r="W24" s="62">
        <f t="shared" si="0"/>
        <v>931.55</v>
      </c>
      <c r="Y24" s="62">
        <v>891.1</v>
      </c>
      <c r="AA24" s="62">
        <f t="shared" si="3"/>
        <v>40.44999999999993</v>
      </c>
      <c r="AB24" s="1">
        <f t="shared" si="4"/>
        <v>930.3084</v>
      </c>
      <c r="AC24" s="1">
        <f t="shared" si="5"/>
        <v>1.2415999999999485</v>
      </c>
    </row>
    <row r="25" spans="1:29" ht="12.75">
      <c r="A25" s="68" t="s">
        <v>64</v>
      </c>
      <c r="B25" s="5" t="s">
        <v>65</v>
      </c>
      <c r="C25" s="54">
        <f>+'UG Distribution'!E25</f>
        <v>0</v>
      </c>
      <c r="D25" s="55">
        <f>+'UG Distribution'!H25</f>
        <v>0</v>
      </c>
      <c r="E25" s="55">
        <f>+'UG Distribution'!S25</f>
        <v>24.57929015873642</v>
      </c>
      <c r="F25" s="55">
        <f>-'UG Distribution'!O25</f>
        <v>0</v>
      </c>
      <c r="G25" s="55"/>
      <c r="H25" s="55">
        <f>+'UG Summer'!E25</f>
        <v>2.143220742586046</v>
      </c>
      <c r="I25" s="56">
        <f t="shared" si="1"/>
        <v>26.722510901322465</v>
      </c>
      <c r="K25" s="187">
        <f>+'Grad Distribution'!I25</f>
        <v>474.1002454421436</v>
      </c>
      <c r="L25" s="165">
        <f>+'Grad Summer'!E25</f>
        <v>68.00466711186084</v>
      </c>
      <c r="M25" s="55">
        <f>+'Grad Distribution'!K25</f>
        <v>0</v>
      </c>
      <c r="N25" s="55"/>
      <c r="O25" s="56">
        <f t="shared" si="2"/>
        <v>542.1049125540044</v>
      </c>
      <c r="Q25" s="63"/>
      <c r="R25" s="62"/>
      <c r="S25" s="55">
        <f>+Extramural!O25</f>
        <v>949.2714</v>
      </c>
      <c r="T25" s="63"/>
      <c r="U25" s="55"/>
      <c r="V25" s="62"/>
      <c r="W25" s="62">
        <f>+Q25+O25+I25+S25</f>
        <v>1518.098823455327</v>
      </c>
      <c r="Y25" s="63">
        <v>1204.5500283169674</v>
      </c>
      <c r="AA25" s="62">
        <f t="shared" si="3"/>
        <v>313.54879513835954</v>
      </c>
      <c r="AB25" s="1">
        <f t="shared" si="4"/>
        <v>1257.550229562914</v>
      </c>
      <c r="AC25" s="1">
        <f t="shared" si="5"/>
        <v>260.548593892413</v>
      </c>
    </row>
    <row r="26" spans="1:29" ht="12.75">
      <c r="A26" s="70" t="s">
        <v>66</v>
      </c>
      <c r="B26" s="8"/>
      <c r="C26" s="57">
        <f>SUM(C10:C25)</f>
        <v>54178.365999999995</v>
      </c>
      <c r="D26" s="58">
        <f>SUM(D10:D25)</f>
        <v>4809.451</v>
      </c>
      <c r="E26" s="58">
        <f>SUM(E10:E25)</f>
        <v>54178.366</v>
      </c>
      <c r="F26" s="58">
        <f>SUM(F10:F25)</f>
        <v>-452.02900000000005</v>
      </c>
      <c r="G26" s="58"/>
      <c r="H26" s="58">
        <f>SUM(H10:H25)</f>
        <v>3973</v>
      </c>
      <c r="I26" s="59">
        <f>SUM(I10:I25)</f>
        <v>116687.15399999997</v>
      </c>
      <c r="J26" s="58"/>
      <c r="K26" s="80">
        <f>SUM(K10:K25)</f>
        <v>7169.499999999999</v>
      </c>
      <c r="L26" s="58">
        <f>SUM(L10:L25)</f>
        <v>808.9285360000206</v>
      </c>
      <c r="M26" s="58">
        <f>SUM(M10:M25)</f>
        <v>10738.35</v>
      </c>
      <c r="N26" s="58">
        <f>SUM(N10:N25)</f>
        <v>0</v>
      </c>
      <c r="O26" s="59">
        <f>SUM(O10:O25)</f>
        <v>18716.778536000016</v>
      </c>
      <c r="P26" s="60"/>
      <c r="Q26" s="57">
        <f>SUM(Q10:Q25)</f>
        <v>10457.895</v>
      </c>
      <c r="R26" s="65"/>
      <c r="S26" s="59">
        <f>SUM(S10:S25)</f>
        <v>2016.3569000000002</v>
      </c>
      <c r="T26" s="59"/>
      <c r="U26" s="59">
        <f>SUM(U10:U25)</f>
        <v>0</v>
      </c>
      <c r="V26" s="103"/>
      <c r="W26" s="65">
        <f>SUM(W10:W25)</f>
        <v>147878.18443599998</v>
      </c>
      <c r="Y26" s="63">
        <v>139964.41041911766</v>
      </c>
      <c r="AA26" s="63">
        <f t="shared" si="3"/>
        <v>7913.774016882322</v>
      </c>
      <c r="AB26" s="1">
        <f t="shared" si="4"/>
        <v>146122.84447755883</v>
      </c>
      <c r="AC26" s="1">
        <f t="shared" si="5"/>
        <v>1755.3399584411527</v>
      </c>
    </row>
    <row r="27" ht="12.75">
      <c r="Y27" s="9"/>
    </row>
    <row r="33" ht="12.75">
      <c r="I33" s="131"/>
    </row>
  </sheetData>
  <sheetProtection/>
  <printOptions horizontalCentered="1"/>
  <pageMargins left="0.55" right="0.55" top="1" bottom="1.01" header="0.5" footer="0.5"/>
  <pageSetup fitToHeight="1" fitToWidth="1" horizontalDpi="600" verticalDpi="600" orientation="landscape" paperSize="5" scale="89" r:id="rId3"/>
  <headerFooter alignWithMargins="0">
    <oddHeader>&amp;C&amp;"Arial,Bold"FY02 Distribution of Tuition Income</oddHeader>
    <oddFooter>&amp;L&amp;8&amp;D
&amp;F
&amp;A</oddFooter>
  </headerFooter>
  <legacyDrawing r:id="rId2"/>
</worksheet>
</file>

<file path=xl/worksheets/sheet12.xml><?xml version="1.0" encoding="utf-8"?>
<worksheet xmlns="http://schemas.openxmlformats.org/spreadsheetml/2006/main" xmlns:r="http://schemas.openxmlformats.org/officeDocument/2006/relationships">
  <dimension ref="A1:H26"/>
  <sheetViews>
    <sheetView zoomScalePageLayoutView="0" workbookViewId="0" topLeftCell="D5">
      <selection activeCell="B15" sqref="B15"/>
    </sheetView>
  </sheetViews>
  <sheetFormatPr defaultColWidth="9.140625" defaultRowHeight="12.75"/>
  <cols>
    <col min="1" max="1" width="3.7109375" style="149" customWidth="1"/>
    <col min="2" max="2" width="20.8515625" style="149" bestFit="1" customWidth="1"/>
    <col min="3" max="3" width="1.8515625" style="149" customWidth="1"/>
    <col min="4" max="4" width="11.28125" style="149" bestFit="1" customWidth="1"/>
    <col min="5" max="5" width="2.00390625" style="149" customWidth="1"/>
    <col min="6" max="6" width="11.28125" style="149" bestFit="1" customWidth="1"/>
    <col min="7" max="7" width="1.7109375" style="149" customWidth="1"/>
    <col min="8" max="8" width="9.28125" style="149" bestFit="1" customWidth="1"/>
    <col min="9" max="16384" width="9.140625" style="149" customWidth="1"/>
  </cols>
  <sheetData>
    <row r="1" spans="1:8" ht="12.75">
      <c r="A1" s="195" t="s">
        <v>151</v>
      </c>
      <c r="B1" s="195"/>
      <c r="C1" s="195"/>
      <c r="D1" s="195"/>
      <c r="E1" s="195"/>
      <c r="F1" s="195"/>
      <c r="G1" s="195"/>
      <c r="H1" s="195"/>
    </row>
    <row r="2" spans="1:8" ht="12.75">
      <c r="A2" s="195" t="s">
        <v>152</v>
      </c>
      <c r="B2" s="195"/>
      <c r="C2" s="195"/>
      <c r="D2" s="195"/>
      <c r="E2" s="195"/>
      <c r="F2" s="195"/>
      <c r="G2" s="195"/>
      <c r="H2" s="195"/>
    </row>
    <row r="6" spans="1:2" ht="12.75">
      <c r="A6" s="155" t="s">
        <v>9</v>
      </c>
      <c r="B6" s="155"/>
    </row>
    <row r="7" spans="1:8" ht="12.75">
      <c r="A7" s="155"/>
      <c r="B7" s="156"/>
      <c r="D7" s="169" t="s">
        <v>150</v>
      </c>
      <c r="E7" s="170"/>
      <c r="F7" s="169" t="s">
        <v>135</v>
      </c>
      <c r="G7" s="170"/>
      <c r="H7" s="169" t="s">
        <v>148</v>
      </c>
    </row>
    <row r="8" spans="1:8" ht="12.75">
      <c r="A8" s="155"/>
      <c r="B8" s="156"/>
      <c r="D8" s="171" t="s">
        <v>27</v>
      </c>
      <c r="E8" s="172"/>
      <c r="F8" s="171" t="s">
        <v>27</v>
      </c>
      <c r="G8" s="172"/>
      <c r="H8" s="171" t="s">
        <v>149</v>
      </c>
    </row>
    <row r="9" spans="1:8" ht="12.75">
      <c r="A9" s="157" t="s">
        <v>25</v>
      </c>
      <c r="B9" s="157"/>
      <c r="D9" s="173" t="s">
        <v>26</v>
      </c>
      <c r="E9" s="174"/>
      <c r="F9" s="173" t="s">
        <v>26</v>
      </c>
      <c r="G9" s="174"/>
      <c r="H9" s="173"/>
    </row>
    <row r="10" spans="1:8" ht="12.75">
      <c r="A10" s="158" t="s">
        <v>34</v>
      </c>
      <c r="B10" s="159" t="s">
        <v>35</v>
      </c>
      <c r="D10" s="167">
        <v>6910.076875301713</v>
      </c>
      <c r="E10" s="165"/>
      <c r="F10" s="167">
        <v>6905.938123183349</v>
      </c>
      <c r="G10" s="165"/>
      <c r="H10" s="167">
        <v>4.138752118364209</v>
      </c>
    </row>
    <row r="11" spans="1:8" ht="12.75">
      <c r="A11" s="160" t="s">
        <v>36</v>
      </c>
      <c r="B11" s="161" t="s">
        <v>37</v>
      </c>
      <c r="D11" s="167">
        <v>23506.493123032156</v>
      </c>
      <c r="E11" s="165"/>
      <c r="F11" s="167">
        <v>23413.901909912107</v>
      </c>
      <c r="G11" s="165"/>
      <c r="H11" s="167">
        <v>92.59121312004936</v>
      </c>
    </row>
    <row r="12" spans="1:8" ht="12.75">
      <c r="A12" s="160" t="s">
        <v>38</v>
      </c>
      <c r="B12" s="161" t="s">
        <v>39</v>
      </c>
      <c r="D12" s="167">
        <v>3531.315785350205</v>
      </c>
      <c r="E12" s="165"/>
      <c r="F12" s="167">
        <v>3415.894197828066</v>
      </c>
      <c r="G12" s="165"/>
      <c r="H12" s="167">
        <v>115.4215875221389</v>
      </c>
    </row>
    <row r="13" spans="1:8" ht="12.75">
      <c r="A13" s="160" t="s">
        <v>40</v>
      </c>
      <c r="B13" s="161" t="s">
        <v>41</v>
      </c>
      <c r="D13" s="167">
        <v>21909.160922107203</v>
      </c>
      <c r="E13" s="165"/>
      <c r="F13" s="167">
        <v>21975.582125849116</v>
      </c>
      <c r="G13" s="165"/>
      <c r="H13" s="167">
        <v>-66.4212037419129</v>
      </c>
    </row>
    <row r="14" spans="1:8" ht="12.75">
      <c r="A14" s="160" t="s">
        <v>42</v>
      </c>
      <c r="B14" s="161" t="s">
        <v>43</v>
      </c>
      <c r="D14" s="167">
        <v>9500.998963856162</v>
      </c>
      <c r="E14" s="165"/>
      <c r="F14" s="167">
        <v>9579.19642558058</v>
      </c>
      <c r="G14" s="165"/>
      <c r="H14" s="167">
        <v>-78.19746172441774</v>
      </c>
    </row>
    <row r="15" spans="1:8" ht="12.75">
      <c r="A15" s="160" t="s">
        <v>44</v>
      </c>
      <c r="B15" s="161" t="s">
        <v>45</v>
      </c>
      <c r="D15" s="167">
        <v>1878.3900080435321</v>
      </c>
      <c r="E15" s="165"/>
      <c r="F15" s="167">
        <v>1981.6967931672236</v>
      </c>
      <c r="G15" s="165"/>
      <c r="H15" s="167">
        <v>-103.3067851236915</v>
      </c>
    </row>
    <row r="16" spans="1:8" ht="12.75">
      <c r="A16" s="160" t="s">
        <v>46</v>
      </c>
      <c r="B16" s="161" t="s">
        <v>47</v>
      </c>
      <c r="D16" s="167">
        <v>6291.209307763006</v>
      </c>
      <c r="E16" s="165"/>
      <c r="F16" s="167">
        <v>6290.8949903288685</v>
      </c>
      <c r="G16" s="165"/>
      <c r="H16" s="167">
        <v>0.3143174341375925</v>
      </c>
    </row>
    <row r="17" spans="1:8" ht="12.75">
      <c r="A17" s="160" t="s">
        <v>48</v>
      </c>
      <c r="B17" s="161" t="s">
        <v>49</v>
      </c>
      <c r="D17" s="167">
        <v>53880.289190124655</v>
      </c>
      <c r="E17" s="165"/>
      <c r="F17" s="167">
        <v>54116.20616146148</v>
      </c>
      <c r="G17" s="165"/>
      <c r="H17" s="167">
        <v>-235.91697133682464</v>
      </c>
    </row>
    <row r="18" spans="1:8" ht="12.75">
      <c r="A18" s="160" t="s">
        <v>50</v>
      </c>
      <c r="B18" s="161" t="s">
        <v>51</v>
      </c>
      <c r="D18" s="167">
        <v>4375.214516532699</v>
      </c>
      <c r="E18" s="165"/>
      <c r="F18" s="167">
        <v>4348.413967478812</v>
      </c>
      <c r="G18" s="165"/>
      <c r="H18" s="167">
        <v>26.800549053887153</v>
      </c>
    </row>
    <row r="19" spans="1:8" ht="12.75">
      <c r="A19" s="160" t="s">
        <v>52</v>
      </c>
      <c r="B19" s="161" t="s">
        <v>53</v>
      </c>
      <c r="D19" s="167">
        <v>3775.369245162981</v>
      </c>
      <c r="E19" s="165"/>
      <c r="F19" s="167">
        <v>3776.9959228510174</v>
      </c>
      <c r="G19" s="165"/>
      <c r="H19" s="167">
        <v>-1.6266776880365796</v>
      </c>
    </row>
    <row r="20" spans="1:8" ht="12.75">
      <c r="A20" s="162" t="s">
        <v>54</v>
      </c>
      <c r="B20" s="161" t="s">
        <v>55</v>
      </c>
      <c r="D20" s="167">
        <v>151.27553269654663</v>
      </c>
      <c r="E20" s="165"/>
      <c r="F20" s="167">
        <v>147.73328388725548</v>
      </c>
      <c r="G20" s="165"/>
      <c r="H20" s="167">
        <v>3.542248809291152</v>
      </c>
    </row>
    <row r="21" spans="1:8" ht="12.75">
      <c r="A21" s="160" t="s">
        <v>56</v>
      </c>
      <c r="B21" s="161" t="s">
        <v>57</v>
      </c>
      <c r="D21" s="167">
        <v>518.6700623703609</v>
      </c>
      <c r="E21" s="165"/>
      <c r="F21" s="167">
        <v>491.1033201462559</v>
      </c>
      <c r="G21" s="165"/>
      <c r="H21" s="167">
        <v>27.56674222410504</v>
      </c>
    </row>
    <row r="22" spans="1:8" ht="12.75">
      <c r="A22" s="160" t="s">
        <v>58</v>
      </c>
      <c r="B22" s="161" t="s">
        <v>59</v>
      </c>
      <c r="D22" s="167">
        <v>273.60867075485163</v>
      </c>
      <c r="E22" s="165"/>
      <c r="F22" s="167">
        <v>236.90798070132215</v>
      </c>
      <c r="G22" s="165"/>
      <c r="H22" s="167">
        <v>36.700690053529485</v>
      </c>
    </row>
    <row r="23" spans="1:8" ht="12.75">
      <c r="A23" s="160" t="s">
        <v>60</v>
      </c>
      <c r="B23" s="161" t="s">
        <v>61</v>
      </c>
      <c r="D23" s="167">
        <v>1234.9535624771688</v>
      </c>
      <c r="E23" s="165"/>
      <c r="F23" s="167">
        <v>1188.2951884252277</v>
      </c>
      <c r="G23" s="165"/>
      <c r="H23" s="167">
        <v>46.65837405194111</v>
      </c>
    </row>
    <row r="24" spans="1:8" ht="12.75">
      <c r="A24" s="162" t="s">
        <v>62</v>
      </c>
      <c r="B24" s="161" t="s">
        <v>63</v>
      </c>
      <c r="D24" s="167">
        <v>894.75</v>
      </c>
      <c r="E24" s="165"/>
      <c r="F24" s="167">
        <v>891.1</v>
      </c>
      <c r="G24" s="165"/>
      <c r="H24" s="167">
        <v>3.6499999999999773</v>
      </c>
    </row>
    <row r="25" spans="1:8" ht="12.75">
      <c r="A25" s="160" t="s">
        <v>64</v>
      </c>
      <c r="B25" s="161" t="s">
        <v>65</v>
      </c>
      <c r="D25" s="167">
        <v>1315.156093221838</v>
      </c>
      <c r="E25" s="165"/>
      <c r="F25" s="167">
        <v>1204.5500283169674</v>
      </c>
      <c r="G25" s="165"/>
      <c r="H25" s="167">
        <v>110.60606490487066</v>
      </c>
    </row>
    <row r="26" spans="1:8" ht="12.75">
      <c r="A26" s="163" t="s">
        <v>66</v>
      </c>
      <c r="B26" s="164"/>
      <c r="D26" s="168">
        <v>139946.93185879508</v>
      </c>
      <c r="E26" s="166"/>
      <c r="F26" s="168">
        <v>139964.41041911766</v>
      </c>
      <c r="G26" s="166"/>
      <c r="H26" s="168">
        <v>-17.478560322575504</v>
      </c>
    </row>
  </sheetData>
  <sheetProtection/>
  <mergeCells count="2">
    <mergeCell ref="A1:H1"/>
    <mergeCell ref="A2:H2"/>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34"/>
  <sheetViews>
    <sheetView zoomScalePageLayoutView="0" workbookViewId="0" topLeftCell="A1">
      <selection activeCell="F7" sqref="F7"/>
    </sheetView>
  </sheetViews>
  <sheetFormatPr defaultColWidth="8.8515625" defaultRowHeight="12.75"/>
  <cols>
    <col min="1" max="1" width="31.00390625" style="1" customWidth="1"/>
    <col min="2" max="2" width="2.00390625" style="1" customWidth="1"/>
    <col min="3" max="3" width="9.8515625" style="1" bestFit="1" customWidth="1"/>
    <col min="4" max="4" width="10.421875" style="1" bestFit="1" customWidth="1"/>
    <col min="5" max="8" width="8.8515625" style="1" customWidth="1"/>
    <col min="9" max="9" width="9.7109375" style="1" bestFit="1" customWidth="1"/>
    <col min="10" max="16384" width="8.8515625" style="1" customWidth="1"/>
  </cols>
  <sheetData>
    <row r="1" ht="12.75">
      <c r="A1" s="10" t="s">
        <v>146</v>
      </c>
    </row>
    <row r="2" ht="12.75">
      <c r="A2" s="10"/>
    </row>
    <row r="3" ht="12.75"/>
    <row r="4" spans="1:9" ht="12.75">
      <c r="A4" s="1" t="s">
        <v>153</v>
      </c>
      <c r="C4" s="11">
        <f>112285-350-400</f>
        <v>111535</v>
      </c>
      <c r="I4" s="11"/>
    </row>
    <row r="5" spans="3:9" ht="12.75">
      <c r="C5" s="11"/>
      <c r="I5" s="11"/>
    </row>
    <row r="6" spans="1:3" ht="12.75">
      <c r="A6" s="1" t="s">
        <v>154</v>
      </c>
      <c r="C6" s="1">
        <f>+C4*0.05</f>
        <v>5576.75</v>
      </c>
    </row>
    <row r="7" ht="12.75"/>
    <row r="8" spans="1:3" ht="12.75">
      <c r="A8" s="1" t="s">
        <v>155</v>
      </c>
      <c r="C8" s="1">
        <v>200</v>
      </c>
    </row>
    <row r="9" ht="12.75"/>
    <row r="10" spans="1:3" ht="12.75">
      <c r="A10" s="1" t="s">
        <v>114</v>
      </c>
      <c r="C10" s="1">
        <f>3282+691</f>
        <v>3973</v>
      </c>
    </row>
    <row r="11" ht="12.75"/>
    <row r="12" spans="1:3" ht="12.75">
      <c r="A12" s="1" t="s">
        <v>156</v>
      </c>
      <c r="C12" s="1">
        <f>+C4*0.02*0.28</f>
        <v>624.5960000000001</v>
      </c>
    </row>
    <row r="13" ht="12.75"/>
    <row r="14" spans="1:4" ht="12.75">
      <c r="A14" s="1" t="s">
        <v>0</v>
      </c>
      <c r="C14" s="1">
        <f>+'UG Distribution'!H26</f>
        <v>4809.451</v>
      </c>
      <c r="D14" s="1" t="s">
        <v>113</v>
      </c>
    </row>
    <row r="16" spans="1:3" ht="12.75">
      <c r="A16" s="1" t="s">
        <v>1</v>
      </c>
      <c r="C16" s="1">
        <f>+'UG Distribution'!O26</f>
        <v>452.02900000000005</v>
      </c>
    </row>
    <row r="18" spans="1:5" ht="12.75">
      <c r="A18" s="1" t="s">
        <v>2</v>
      </c>
      <c r="C18" s="11">
        <f>+C4+C6+C8-C10-C14+C16-C12</f>
        <v>108356.73199999999</v>
      </c>
      <c r="E18" s="175"/>
    </row>
    <row r="21" spans="1:9" ht="12.75">
      <c r="A21" s="1" t="s">
        <v>3</v>
      </c>
      <c r="C21" s="11">
        <f>+C18*D21</f>
        <v>54178.365999999995</v>
      </c>
      <c r="D21" s="17">
        <v>0.5</v>
      </c>
      <c r="I21" s="11"/>
    </row>
    <row r="22" ht="12.75">
      <c r="C22" s="11"/>
    </row>
    <row r="23" ht="12.75">
      <c r="C23" s="11"/>
    </row>
    <row r="24" spans="1:4" ht="12.75">
      <c r="A24" s="1" t="s">
        <v>4</v>
      </c>
      <c r="C24" s="11">
        <f>+C18*D24</f>
        <v>54178.365999999995</v>
      </c>
      <c r="D24" s="17">
        <v>0.5</v>
      </c>
    </row>
    <row r="28" ht="12.75">
      <c r="A28" s="10" t="s">
        <v>5</v>
      </c>
    </row>
    <row r="30" spans="1:3" ht="12.75">
      <c r="A30" s="1" t="s">
        <v>6</v>
      </c>
      <c r="C30" s="1">
        <f>+C10</f>
        <v>3973</v>
      </c>
    </row>
    <row r="32" spans="1:3" ht="15">
      <c r="A32" s="1" t="s">
        <v>7</v>
      </c>
      <c r="C32" s="100">
        <f>+C30*0.05</f>
        <v>198.65</v>
      </c>
    </row>
    <row r="34" spans="1:3" ht="12.75">
      <c r="A34" s="1" t="s">
        <v>8</v>
      </c>
      <c r="C34" s="11">
        <f>+C30-C32</f>
        <v>3774.35</v>
      </c>
    </row>
  </sheetData>
  <sheetProtection/>
  <printOptions/>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4"/>
  <sheetViews>
    <sheetView zoomScalePageLayoutView="0" workbookViewId="0" topLeftCell="A3">
      <pane xSplit="2" ySplit="1" topLeftCell="C4" activePane="bottomRight" state="frozen"/>
      <selection pane="topLeft" activeCell="A3" sqref="A3"/>
      <selection pane="topRight" activeCell="C3" sqref="C3"/>
      <selection pane="bottomLeft" activeCell="A4" sqref="A4"/>
      <selection pane="bottomRight" activeCell="C5" sqref="C5"/>
    </sheetView>
  </sheetViews>
  <sheetFormatPr defaultColWidth="9.140625" defaultRowHeight="12.75"/>
  <cols>
    <col min="1" max="1" width="4.140625" style="0" customWidth="1"/>
    <col min="2" max="2" width="20.7109375" style="0" customWidth="1"/>
    <col min="3" max="3" width="12.421875" style="0" bestFit="1" customWidth="1"/>
    <col min="4" max="4" width="8.421875" style="175" customWidth="1"/>
    <col min="5" max="5" width="11.421875" style="0" customWidth="1"/>
    <col min="6" max="6" width="1.7109375" style="0" customWidth="1"/>
    <col min="7" max="7" width="11.421875" style="0" customWidth="1"/>
    <col min="8" max="8" width="8.28125" style="0" customWidth="1"/>
    <col min="9" max="9" width="1.7109375" style="0" customWidth="1"/>
    <col min="11" max="11" width="1.7109375" style="0" customWidth="1"/>
    <col min="12" max="12" width="10.421875" style="0" customWidth="1"/>
    <col min="13" max="13" width="2.00390625" style="0" customWidth="1"/>
    <col min="16" max="16" width="1.7109375" style="0" customWidth="1"/>
    <col min="17" max="17" width="10.421875" style="0" customWidth="1"/>
    <col min="18" max="18" width="11.140625" style="175" customWidth="1"/>
    <col min="19" max="19" width="10.421875" style="0" customWidth="1"/>
    <col min="20" max="22" width="11.421875" style="0" customWidth="1"/>
    <col min="23" max="23" width="10.421875" style="0" customWidth="1"/>
    <col min="24" max="24" width="12.28125" style="0" customWidth="1"/>
    <col min="25" max="25" width="7.28125" style="0" customWidth="1"/>
    <col min="26" max="26" width="9.7109375" style="0" customWidth="1"/>
    <col min="27" max="27" width="11.421875" style="0" customWidth="1"/>
    <col min="28" max="28" width="11.140625" style="0" customWidth="1"/>
  </cols>
  <sheetData>
    <row r="1" spans="1:16" ht="12.75">
      <c r="A1" s="1"/>
      <c r="B1" s="1"/>
      <c r="C1" s="1"/>
      <c r="E1" s="1"/>
      <c r="F1" s="1"/>
      <c r="G1" s="1"/>
      <c r="H1" s="1"/>
      <c r="I1" s="1"/>
      <c r="J1" s="1"/>
      <c r="K1" s="1"/>
      <c r="L1" s="1"/>
      <c r="M1" s="1"/>
      <c r="N1" s="1"/>
      <c r="O1" s="1"/>
      <c r="P1" s="1"/>
    </row>
    <row r="2" spans="1:16" ht="12.75">
      <c r="A2" s="1"/>
      <c r="B2" s="1"/>
      <c r="C2" s="1"/>
      <c r="E2" s="1"/>
      <c r="F2" s="1"/>
      <c r="G2" s="1"/>
      <c r="H2" s="1"/>
      <c r="I2" s="1"/>
      <c r="J2" s="1"/>
      <c r="K2" s="1"/>
      <c r="L2" s="1"/>
      <c r="M2" s="1"/>
      <c r="N2" s="1"/>
      <c r="O2" s="1"/>
      <c r="P2" s="1"/>
    </row>
    <row r="3" spans="1:16" ht="12.75">
      <c r="A3" s="1"/>
      <c r="B3" s="1"/>
      <c r="C3" s="1"/>
      <c r="E3" s="1"/>
      <c r="F3" s="1"/>
      <c r="G3" s="1"/>
      <c r="H3" s="1"/>
      <c r="I3" s="1"/>
      <c r="J3" s="1"/>
      <c r="K3" s="1"/>
      <c r="L3" s="1"/>
      <c r="M3" s="1"/>
      <c r="N3" s="1"/>
      <c r="O3" s="1"/>
      <c r="P3" s="1"/>
    </row>
    <row r="4" spans="1:16" ht="12.75">
      <c r="A4" s="1"/>
      <c r="B4" s="1"/>
      <c r="C4" s="1"/>
      <c r="E4" s="1"/>
      <c r="F4" s="1"/>
      <c r="G4" s="1"/>
      <c r="H4" s="1"/>
      <c r="I4" s="1"/>
      <c r="J4" s="1"/>
      <c r="K4" s="1"/>
      <c r="L4" s="1"/>
      <c r="M4" s="1"/>
      <c r="N4" s="1"/>
      <c r="O4" s="1"/>
      <c r="P4" s="1"/>
    </row>
    <row r="5" spans="1:17" ht="12.75">
      <c r="A5" s="1"/>
      <c r="B5" s="1"/>
      <c r="C5" s="151"/>
      <c r="E5" s="1"/>
      <c r="F5" s="1"/>
      <c r="G5" s="151"/>
      <c r="H5" s="1"/>
      <c r="I5" s="1"/>
      <c r="J5" s="1"/>
      <c r="K5" s="1"/>
      <c r="L5" s="151"/>
      <c r="M5" s="1"/>
      <c r="N5" s="151"/>
      <c r="O5" s="1"/>
      <c r="Q5" s="143"/>
    </row>
    <row r="6" spans="1:19" ht="13.5" thickBot="1">
      <c r="A6" s="2" t="s">
        <v>9</v>
      </c>
      <c r="B6" s="2"/>
      <c r="C6" s="3"/>
      <c r="D6" s="183"/>
      <c r="E6" s="4"/>
      <c r="F6" s="4"/>
      <c r="G6" s="4"/>
      <c r="H6" s="4"/>
      <c r="I6" s="4"/>
      <c r="J6" s="4"/>
      <c r="K6" s="4"/>
      <c r="L6" s="4"/>
      <c r="M6" s="4"/>
      <c r="N6" s="4"/>
      <c r="O6" s="4"/>
      <c r="P6" s="82"/>
      <c r="Q6" s="88" t="s">
        <v>10</v>
      </c>
      <c r="R6" s="176"/>
      <c r="S6" s="26"/>
    </row>
    <row r="7" spans="1:19" ht="13.5" thickTop="1">
      <c r="A7" s="2"/>
      <c r="B7" s="5"/>
      <c r="C7" s="12" t="s">
        <v>11</v>
      </c>
      <c r="D7" s="184"/>
      <c r="E7" s="33" t="s">
        <v>12</v>
      </c>
      <c r="F7" s="12"/>
      <c r="G7" s="12" t="s">
        <v>13</v>
      </c>
      <c r="H7" s="33" t="s">
        <v>14</v>
      </c>
      <c r="I7" s="12"/>
      <c r="J7" s="33" t="s">
        <v>120</v>
      </c>
      <c r="K7" s="12"/>
      <c r="L7" s="12" t="s">
        <v>15</v>
      </c>
      <c r="M7" s="12"/>
      <c r="N7" s="12"/>
      <c r="O7" s="33" t="s">
        <v>16</v>
      </c>
      <c r="P7" s="83"/>
      <c r="Q7" s="20" t="s">
        <v>17</v>
      </c>
      <c r="R7" s="177"/>
      <c r="S7" s="85" t="s">
        <v>12</v>
      </c>
    </row>
    <row r="8" spans="1:19" ht="12.75">
      <c r="A8" s="2"/>
      <c r="B8" s="5"/>
      <c r="C8" s="12" t="s">
        <v>18</v>
      </c>
      <c r="D8" s="185" t="s">
        <v>19</v>
      </c>
      <c r="E8" s="99">
        <f>+'Undergrad Income'!C21</f>
        <v>54178.365999999995</v>
      </c>
      <c r="F8" s="12"/>
      <c r="G8" s="12" t="s">
        <v>20</v>
      </c>
      <c r="H8" s="33" t="s">
        <v>21</v>
      </c>
      <c r="I8" s="12"/>
      <c r="J8" s="33" t="s">
        <v>121</v>
      </c>
      <c r="K8" s="12"/>
      <c r="L8" s="12" t="s">
        <v>22</v>
      </c>
      <c r="M8" s="12"/>
      <c r="N8" s="12" t="s">
        <v>16</v>
      </c>
      <c r="O8" s="33" t="s">
        <v>23</v>
      </c>
      <c r="P8" s="83"/>
      <c r="Q8" s="21" t="s">
        <v>145</v>
      </c>
      <c r="R8" s="178" t="s">
        <v>19</v>
      </c>
      <c r="S8" s="129">
        <f>+E8</f>
        <v>54178.365999999995</v>
      </c>
    </row>
    <row r="9" spans="1:19" ht="12.75">
      <c r="A9" s="7" t="s">
        <v>25</v>
      </c>
      <c r="B9" s="8"/>
      <c r="C9" s="13" t="s">
        <v>26</v>
      </c>
      <c r="D9" s="179" t="s">
        <v>27</v>
      </c>
      <c r="E9" s="34" t="s">
        <v>28</v>
      </c>
      <c r="F9" s="13"/>
      <c r="G9" s="13" t="s">
        <v>29</v>
      </c>
      <c r="H9" s="34" t="s">
        <v>30</v>
      </c>
      <c r="I9" s="13"/>
      <c r="J9" s="34" t="s">
        <v>103</v>
      </c>
      <c r="K9" s="13"/>
      <c r="L9" s="13" t="s">
        <v>31</v>
      </c>
      <c r="M9" s="13"/>
      <c r="N9" s="13" t="s">
        <v>23</v>
      </c>
      <c r="O9" s="34" t="s">
        <v>32</v>
      </c>
      <c r="P9" s="84"/>
      <c r="Q9" s="22" t="s">
        <v>24</v>
      </c>
      <c r="R9" s="179" t="s">
        <v>27</v>
      </c>
      <c r="S9" s="86" t="s">
        <v>33</v>
      </c>
    </row>
    <row r="10" spans="1:20" ht="12.75">
      <c r="A10" s="2" t="s">
        <v>34</v>
      </c>
      <c r="B10" s="2" t="s">
        <v>35</v>
      </c>
      <c r="C10" s="146">
        <v>7871029</v>
      </c>
      <c r="D10" s="180">
        <f aca="true" t="shared" si="0" ref="D10:D15">+C10/$C$26</f>
        <v>0.07265183596263522</v>
      </c>
      <c r="E10" s="94">
        <f aca="true" t="shared" si="1" ref="E10:E15">+$E$8*D10</f>
        <v>3936.157759355613</v>
      </c>
      <c r="F10" s="52"/>
      <c r="G10" s="140">
        <v>7632</v>
      </c>
      <c r="H10" s="94">
        <f>+G10/1000</f>
        <v>7.632</v>
      </c>
      <c r="I10" s="52"/>
      <c r="J10" s="96"/>
      <c r="K10" s="55"/>
      <c r="L10" s="133">
        <v>506072.5</v>
      </c>
      <c r="M10" s="128">
        <v>26142.5</v>
      </c>
      <c r="N10" s="148">
        <v>39264</v>
      </c>
      <c r="O10" s="94">
        <f>+N10/1000</f>
        <v>39.264</v>
      </c>
      <c r="P10" s="81"/>
      <c r="Q10" s="1">
        <v>43542</v>
      </c>
      <c r="R10" s="180">
        <f aca="true" t="shared" si="2" ref="R10:R26">+Q10/$Q$26</f>
        <v>0.053678947082928564</v>
      </c>
      <c r="S10" s="95">
        <f aca="true" t="shared" si="3" ref="S10:S26">+R10*$S$8</f>
        <v>2908.237641553536</v>
      </c>
      <c r="T10" s="19"/>
    </row>
    <row r="11" spans="1:20" ht="12.75">
      <c r="A11" s="2" t="s">
        <v>36</v>
      </c>
      <c r="B11" s="2" t="s">
        <v>37</v>
      </c>
      <c r="C11" s="147">
        <v>12649709.5</v>
      </c>
      <c r="D11" s="181">
        <f t="shared" si="0"/>
        <v>0.11676041589593793</v>
      </c>
      <c r="E11" s="96">
        <f t="shared" si="1"/>
        <v>6325.888546722343</v>
      </c>
      <c r="F11" s="55"/>
      <c r="G11" s="140">
        <v>0</v>
      </c>
      <c r="H11" s="96">
        <f aca="true" t="shared" si="4" ref="H11:H25">+G11/1000</f>
        <v>0</v>
      </c>
      <c r="I11" s="55"/>
      <c r="J11" s="96"/>
      <c r="K11" s="55"/>
      <c r="L11" s="133">
        <v>680910</v>
      </c>
      <c r="M11" s="128">
        <v>1392.5</v>
      </c>
      <c r="N11" s="140">
        <v>931</v>
      </c>
      <c r="O11" s="96">
        <f aca="true" t="shared" si="5" ref="O11:O25">+N11/1000</f>
        <v>0.931</v>
      </c>
      <c r="P11" s="83"/>
      <c r="Q11" s="1">
        <v>92250</v>
      </c>
      <c r="R11" s="181">
        <f t="shared" si="2"/>
        <v>0.11372658280281475</v>
      </c>
      <c r="S11" s="87">
        <f t="shared" si="3"/>
        <v>6161.520427020203</v>
      </c>
      <c r="T11" s="19"/>
    </row>
    <row r="12" spans="1:20" ht="12.75">
      <c r="A12" s="2" t="s">
        <v>38</v>
      </c>
      <c r="B12" s="2" t="s">
        <v>39</v>
      </c>
      <c r="C12" s="147">
        <v>2218657.5</v>
      </c>
      <c r="D12" s="181">
        <f t="shared" si="0"/>
        <v>0.020478839646921685</v>
      </c>
      <c r="E12" s="96">
        <f t="shared" si="1"/>
        <v>1109.5100696462337</v>
      </c>
      <c r="F12" s="55"/>
      <c r="G12" s="140">
        <v>0</v>
      </c>
      <c r="H12" s="96">
        <f t="shared" si="4"/>
        <v>0</v>
      </c>
      <c r="I12" s="55"/>
      <c r="J12" s="96"/>
      <c r="K12" s="55"/>
      <c r="L12" s="133">
        <v>200177</v>
      </c>
      <c r="M12" s="128">
        <v>0</v>
      </c>
      <c r="N12" s="140">
        <v>591</v>
      </c>
      <c r="O12" s="96">
        <f t="shared" si="5"/>
        <v>0.591</v>
      </c>
      <c r="P12" s="83"/>
      <c r="Q12" s="1">
        <v>21323</v>
      </c>
      <c r="R12" s="181">
        <f t="shared" si="2"/>
        <v>0.0262871753398853</v>
      </c>
      <c r="S12" s="87">
        <f t="shared" si="3"/>
        <v>1424.19620667048</v>
      </c>
      <c r="T12" s="19"/>
    </row>
    <row r="13" spans="1:20" ht="12.75">
      <c r="A13" s="2" t="s">
        <v>40</v>
      </c>
      <c r="B13" s="2" t="s">
        <v>41</v>
      </c>
      <c r="C13" s="147">
        <v>20803297.5</v>
      </c>
      <c r="D13" s="181">
        <f t="shared" si="0"/>
        <v>0.1920203517801674</v>
      </c>
      <c r="E13" s="96">
        <f t="shared" si="1"/>
        <v>10403.348898194661</v>
      </c>
      <c r="F13" s="55"/>
      <c r="G13" s="140">
        <v>2557344</v>
      </c>
      <c r="H13" s="96">
        <f t="shared" si="4"/>
        <v>2557.344</v>
      </c>
      <c r="I13" s="55"/>
      <c r="J13" s="96"/>
      <c r="K13" s="55"/>
      <c r="L13" s="133">
        <v>1250501.5</v>
      </c>
      <c r="M13" s="128">
        <v>43479.5</v>
      </c>
      <c r="N13" s="140">
        <v>83715</v>
      </c>
      <c r="O13" s="96">
        <f t="shared" si="5"/>
        <v>83.715</v>
      </c>
      <c r="P13" s="83"/>
      <c r="Q13" s="1">
        <v>113775</v>
      </c>
      <c r="R13" s="181">
        <f t="shared" si="2"/>
        <v>0.14026278545680484</v>
      </c>
      <c r="S13" s="87">
        <f t="shared" si="3"/>
        <v>7599.208526658249</v>
      </c>
      <c r="T13" s="1"/>
    </row>
    <row r="14" spans="1:20" ht="12.75">
      <c r="A14" s="2" t="s">
        <v>42</v>
      </c>
      <c r="B14" s="2" t="s">
        <v>43</v>
      </c>
      <c r="C14" s="147">
        <v>8425306</v>
      </c>
      <c r="D14" s="181">
        <f t="shared" si="0"/>
        <v>0.07776797029295741</v>
      </c>
      <c r="E14" s="96">
        <f t="shared" si="1"/>
        <v>4213.341557608974</v>
      </c>
      <c r="F14" s="55"/>
      <c r="G14" s="140">
        <v>495424</v>
      </c>
      <c r="H14" s="96">
        <f t="shared" si="4"/>
        <v>495.424</v>
      </c>
      <c r="I14" s="55"/>
      <c r="J14" s="96"/>
      <c r="K14" s="55"/>
      <c r="L14" s="133">
        <v>942956</v>
      </c>
      <c r="M14" s="128">
        <v>14851</v>
      </c>
      <c r="N14" s="140">
        <v>6484</v>
      </c>
      <c r="O14" s="96">
        <f t="shared" si="5"/>
        <v>6.484</v>
      </c>
      <c r="P14" s="83"/>
      <c r="Q14" s="1">
        <v>59246</v>
      </c>
      <c r="R14" s="181">
        <f t="shared" si="2"/>
        <v>0.07303897154184892</v>
      </c>
      <c r="S14" s="87">
        <f t="shared" si="3"/>
        <v>3957.132132457875</v>
      </c>
      <c r="T14" s="19"/>
    </row>
    <row r="15" spans="1:20" ht="12.75">
      <c r="A15" s="2" t="s">
        <v>44</v>
      </c>
      <c r="B15" s="2" t="s">
        <v>45</v>
      </c>
      <c r="C15" s="147">
        <v>1916211.5</v>
      </c>
      <c r="D15" s="181">
        <f t="shared" si="0"/>
        <v>0.01768717706004071</v>
      </c>
      <c r="E15" s="96">
        <f t="shared" si="1"/>
        <v>958.2623522656895</v>
      </c>
      <c r="F15" s="55"/>
      <c r="G15" s="140">
        <v>0</v>
      </c>
      <c r="H15" s="96">
        <f t="shared" si="4"/>
        <v>0</v>
      </c>
      <c r="I15" s="55"/>
      <c r="J15" s="96"/>
      <c r="K15" s="55"/>
      <c r="L15" s="133">
        <v>88330</v>
      </c>
      <c r="M15" s="128">
        <v>2312.5</v>
      </c>
      <c r="N15" s="140">
        <v>2045.5</v>
      </c>
      <c r="O15" s="96">
        <f t="shared" si="5"/>
        <v>2.0455</v>
      </c>
      <c r="P15" s="83"/>
      <c r="Q15" s="1">
        <v>13411</v>
      </c>
      <c r="R15" s="181">
        <f t="shared" si="2"/>
        <v>0.01653319460128508</v>
      </c>
      <c r="S15" s="87">
        <f t="shared" si="3"/>
        <v>895.7414682576469</v>
      </c>
      <c r="T15" s="19"/>
    </row>
    <row r="16" spans="1:20" ht="12.75">
      <c r="A16" s="2" t="s">
        <v>46</v>
      </c>
      <c r="B16" s="2" t="s">
        <v>47</v>
      </c>
      <c r="C16" s="147">
        <v>0</v>
      </c>
      <c r="D16" s="181"/>
      <c r="E16" s="96"/>
      <c r="F16" s="55"/>
      <c r="G16" s="140">
        <v>0</v>
      </c>
      <c r="H16" s="96">
        <f t="shared" si="4"/>
        <v>0</v>
      </c>
      <c r="I16" s="55"/>
      <c r="J16" s="96"/>
      <c r="K16" s="55"/>
      <c r="L16" s="133">
        <v>0</v>
      </c>
      <c r="M16" s="128">
        <v>0</v>
      </c>
      <c r="N16" s="140">
        <v>0</v>
      </c>
      <c r="O16" s="96">
        <f t="shared" si="5"/>
        <v>0</v>
      </c>
      <c r="P16" s="83"/>
      <c r="Q16" s="1">
        <v>196</v>
      </c>
      <c r="R16" s="181">
        <f t="shared" si="2"/>
        <v>0.00024163046319080424</v>
      </c>
      <c r="S16" s="87">
        <f t="shared" si="3"/>
        <v>13.091143671500918</v>
      </c>
      <c r="T16" s="19"/>
    </row>
    <row r="17" spans="1:20" ht="12.75">
      <c r="A17" s="2" t="s">
        <v>48</v>
      </c>
      <c r="B17" s="2" t="s">
        <v>49</v>
      </c>
      <c r="C17" s="147">
        <v>49531375</v>
      </c>
      <c r="D17" s="181">
        <f>+C17/$C$26</f>
        <v>0.45718867653819734</v>
      </c>
      <c r="E17" s="96">
        <f>+$E$8*D17</f>
        <v>24769.735448542066</v>
      </c>
      <c r="F17" s="55"/>
      <c r="G17" s="140">
        <v>1749051</v>
      </c>
      <c r="H17" s="96">
        <f t="shared" si="4"/>
        <v>1749.051</v>
      </c>
      <c r="I17" s="55"/>
      <c r="J17" s="96"/>
      <c r="K17" s="55"/>
      <c r="L17" s="133">
        <v>3086281</v>
      </c>
      <c r="M17" s="128">
        <v>97296.5</v>
      </c>
      <c r="N17" s="140">
        <v>316294.5</v>
      </c>
      <c r="O17" s="96">
        <f t="shared" si="5"/>
        <v>316.2945</v>
      </c>
      <c r="P17" s="83"/>
      <c r="Q17" s="1">
        <v>429207</v>
      </c>
      <c r="R17" s="181">
        <f t="shared" si="2"/>
        <v>0.5291300317078342</v>
      </c>
      <c r="S17" s="87">
        <f t="shared" si="3"/>
        <v>28667.400519458646</v>
      </c>
      <c r="T17" s="19"/>
    </row>
    <row r="18" spans="1:20" ht="12.75">
      <c r="A18" s="2" t="s">
        <v>50</v>
      </c>
      <c r="B18" s="2" t="s">
        <v>51</v>
      </c>
      <c r="C18" s="147">
        <v>4186921.5</v>
      </c>
      <c r="D18" s="181">
        <f>+C18/$C$26</f>
        <v>0.03864647608418551</v>
      </c>
      <c r="E18" s="96">
        <f>+$E$8*D18</f>
        <v>2093.802925899249</v>
      </c>
      <c r="F18" s="55"/>
      <c r="G18" s="128"/>
      <c r="H18" s="96">
        <f t="shared" si="4"/>
        <v>0</v>
      </c>
      <c r="I18" s="55"/>
      <c r="J18" s="96"/>
      <c r="K18" s="55"/>
      <c r="L18" s="133">
        <v>303655.5</v>
      </c>
      <c r="M18" s="128">
        <v>3075</v>
      </c>
      <c r="N18" s="140">
        <v>2704</v>
      </c>
      <c r="O18" s="96">
        <f t="shared" si="5"/>
        <v>2.704</v>
      </c>
      <c r="P18" s="83"/>
      <c r="Q18" s="1">
        <v>31396</v>
      </c>
      <c r="R18" s="181">
        <f t="shared" si="2"/>
        <v>0.0387052552160127</v>
      </c>
      <c r="S18" s="87">
        <f t="shared" si="3"/>
        <v>2096.987483216545</v>
      </c>
      <c r="T18" s="19"/>
    </row>
    <row r="19" spans="1:20" ht="12.75">
      <c r="A19" s="2" t="s">
        <v>52</v>
      </c>
      <c r="B19" s="2" t="s">
        <v>53</v>
      </c>
      <c r="C19" s="147">
        <v>0</v>
      </c>
      <c r="D19" s="181"/>
      <c r="E19" s="96"/>
      <c r="F19" s="55"/>
      <c r="G19" s="55"/>
      <c r="H19" s="96">
        <f t="shared" si="4"/>
        <v>0</v>
      </c>
      <c r="I19" s="55"/>
      <c r="J19" s="96"/>
      <c r="K19" s="55"/>
      <c r="L19" s="133">
        <v>0</v>
      </c>
      <c r="M19" s="128">
        <v>0</v>
      </c>
      <c r="N19" s="55"/>
      <c r="O19" s="96">
        <f t="shared" si="5"/>
        <v>0</v>
      </c>
      <c r="P19" s="83"/>
      <c r="Q19" s="1">
        <v>490</v>
      </c>
      <c r="R19" s="181">
        <f t="shared" si="2"/>
        <v>0.0006040761579770105</v>
      </c>
      <c r="S19" s="87">
        <f t="shared" si="3"/>
        <v>32.72785917875229</v>
      </c>
      <c r="T19" s="19"/>
    </row>
    <row r="20" spans="1:20" ht="12.75">
      <c r="A20" s="18" t="s">
        <v>54</v>
      </c>
      <c r="B20" s="2" t="s">
        <v>55</v>
      </c>
      <c r="C20" s="48"/>
      <c r="D20" s="181"/>
      <c r="E20" s="96"/>
      <c r="F20" s="55"/>
      <c r="G20" s="55"/>
      <c r="H20" s="96"/>
      <c r="I20" s="55"/>
      <c r="J20" s="96"/>
      <c r="K20" s="55"/>
      <c r="M20" s="128">
        <v>0</v>
      </c>
      <c r="N20" s="55"/>
      <c r="O20" s="96"/>
      <c r="P20" s="83"/>
      <c r="Q20" s="1">
        <v>2384</v>
      </c>
      <c r="R20" s="181">
        <f t="shared" si="2"/>
        <v>0.0029390154298310064</v>
      </c>
      <c r="S20" s="87">
        <f t="shared" si="3"/>
        <v>159.23105363703158</v>
      </c>
      <c r="T20" s="19"/>
    </row>
    <row r="21" spans="1:20" ht="12.75">
      <c r="A21" s="2" t="s">
        <v>56</v>
      </c>
      <c r="B21" s="2" t="s">
        <v>57</v>
      </c>
      <c r="C21" s="147">
        <v>736516.5</v>
      </c>
      <c r="D21" s="181">
        <f>+C21/$C$26</f>
        <v>0.006798256738956777</v>
      </c>
      <c r="E21" s="96">
        <f>+$E$8*D21</f>
        <v>368.31844176516665</v>
      </c>
      <c r="F21" s="55"/>
      <c r="G21" s="55"/>
      <c r="H21" s="96">
        <f t="shared" si="4"/>
        <v>0</v>
      </c>
      <c r="I21" s="55"/>
      <c r="J21" s="96"/>
      <c r="K21" s="55"/>
      <c r="L21" s="1">
        <v>36918</v>
      </c>
      <c r="M21" s="128">
        <v>0</v>
      </c>
      <c r="N21" s="55"/>
      <c r="O21" s="96">
        <f t="shared" si="5"/>
        <v>0</v>
      </c>
      <c r="P21" s="83"/>
      <c r="Q21" s="1">
        <v>2216</v>
      </c>
      <c r="R21" s="181">
        <f t="shared" si="2"/>
        <v>0.002731903604238889</v>
      </c>
      <c r="S21" s="87">
        <f t="shared" si="3"/>
        <v>148.01007334717366</v>
      </c>
      <c r="T21" s="19"/>
    </row>
    <row r="22" spans="1:20" ht="12.75">
      <c r="A22" s="2" t="s">
        <v>58</v>
      </c>
      <c r="B22" s="2" t="s">
        <v>59</v>
      </c>
      <c r="C22" s="147">
        <v>0</v>
      </c>
      <c r="D22" s="181"/>
      <c r="E22" s="96"/>
      <c r="F22" s="55"/>
      <c r="G22" s="55"/>
      <c r="H22" s="96">
        <f t="shared" si="4"/>
        <v>0</v>
      </c>
      <c r="I22" s="55"/>
      <c r="J22" s="96"/>
      <c r="K22" s="55"/>
      <c r="L22" s="128"/>
      <c r="M22" s="128">
        <v>0</v>
      </c>
      <c r="N22" s="55"/>
      <c r="O22" s="96">
        <f t="shared" si="5"/>
        <v>0</v>
      </c>
      <c r="P22" s="83"/>
      <c r="Q22" s="1">
        <v>28</v>
      </c>
      <c r="R22" s="181">
        <f t="shared" si="2"/>
        <v>3.451863759868632E-05</v>
      </c>
      <c r="S22" s="87">
        <f t="shared" si="3"/>
        <v>1.8701633816429886</v>
      </c>
      <c r="T22" s="19"/>
    </row>
    <row r="23" spans="1:20" ht="12.75">
      <c r="A23" s="2" t="s">
        <v>60</v>
      </c>
      <c r="B23" s="2" t="s">
        <v>61</v>
      </c>
      <c r="C23" s="147">
        <v>0</v>
      </c>
      <c r="D23" s="181"/>
      <c r="E23" s="96"/>
      <c r="F23" s="55"/>
      <c r="G23" s="55"/>
      <c r="H23" s="96">
        <f t="shared" si="4"/>
        <v>0</v>
      </c>
      <c r="I23" s="55"/>
      <c r="J23" s="96"/>
      <c r="K23" s="55"/>
      <c r="L23" s="128"/>
      <c r="M23" s="55"/>
      <c r="N23" s="55"/>
      <c r="O23" s="96">
        <f t="shared" si="5"/>
        <v>0</v>
      </c>
      <c r="P23" s="83"/>
      <c r="Q23" s="1">
        <v>1324</v>
      </c>
      <c r="R23" s="181">
        <f t="shared" si="2"/>
        <v>0.001632238435023596</v>
      </c>
      <c r="S23" s="87">
        <f t="shared" si="3"/>
        <v>88.43201133197559</v>
      </c>
      <c r="T23" s="19"/>
    </row>
    <row r="24" spans="1:20" ht="12.75">
      <c r="A24" s="104" t="s">
        <v>62</v>
      </c>
      <c r="B24" s="2" t="s">
        <v>63</v>
      </c>
      <c r="C24" s="147">
        <v>0</v>
      </c>
      <c r="D24" s="181"/>
      <c r="E24" s="96"/>
      <c r="F24" s="55"/>
      <c r="G24" s="55"/>
      <c r="H24" s="96"/>
      <c r="I24" s="55"/>
      <c r="J24" s="96"/>
      <c r="K24" s="55"/>
      <c r="L24" s="55"/>
      <c r="M24" s="55"/>
      <c r="N24" s="55"/>
      <c r="O24" s="96"/>
      <c r="P24" s="83"/>
      <c r="R24" s="181"/>
      <c r="S24" s="87"/>
      <c r="T24" s="19"/>
    </row>
    <row r="25" spans="1:20" ht="12.75">
      <c r="A25" s="2" t="s">
        <v>64</v>
      </c>
      <c r="B25" s="2" t="s">
        <v>65</v>
      </c>
      <c r="C25" s="132"/>
      <c r="D25" s="181"/>
      <c r="E25" s="96"/>
      <c r="F25" s="55"/>
      <c r="G25" s="55"/>
      <c r="H25" s="96">
        <f t="shared" si="4"/>
        <v>0</v>
      </c>
      <c r="I25" s="55"/>
      <c r="J25" s="96"/>
      <c r="K25" s="55"/>
      <c r="L25" s="55"/>
      <c r="M25" s="55"/>
      <c r="N25" s="55"/>
      <c r="O25" s="96">
        <f t="shared" si="5"/>
        <v>0</v>
      </c>
      <c r="P25" s="83"/>
      <c r="Q25">
        <v>368</v>
      </c>
      <c r="R25" s="181">
        <f t="shared" si="2"/>
        <v>0.00045367352272559163</v>
      </c>
      <c r="S25" s="87">
        <f t="shared" si="3"/>
        <v>24.57929015873642</v>
      </c>
      <c r="T25" s="19"/>
    </row>
    <row r="26" spans="1:19" ht="12.75">
      <c r="A26" s="2" t="s">
        <v>66</v>
      </c>
      <c r="B26" s="2"/>
      <c r="C26" s="80">
        <f>SUM(C10:C25)</f>
        <v>108339024</v>
      </c>
      <c r="D26" s="182">
        <f>SUM(D10:D25)</f>
        <v>0.9999999999999998</v>
      </c>
      <c r="E26" s="91">
        <f>SUM(E10:E25)</f>
        <v>54178.365999999995</v>
      </c>
      <c r="F26" s="60"/>
      <c r="G26" s="80">
        <f>SUM(G10:G25)</f>
        <v>4809451</v>
      </c>
      <c r="H26" s="91">
        <f>SUM(H10:H25)</f>
        <v>4809.451</v>
      </c>
      <c r="I26" s="60"/>
      <c r="J26" s="91">
        <f>SUM(J10:J25)</f>
        <v>0</v>
      </c>
      <c r="K26" s="60"/>
      <c r="L26" s="60">
        <f>SUM(L10:L25)</f>
        <v>7095801.5</v>
      </c>
      <c r="M26" s="60"/>
      <c r="N26" s="60">
        <f>SUM(N10:N25)</f>
        <v>452029</v>
      </c>
      <c r="O26" s="91">
        <f>SUM(O10:O25)</f>
        <v>452.02900000000005</v>
      </c>
      <c r="P26" s="92"/>
      <c r="Q26" s="60">
        <f>SUM(Q10:Q25)</f>
        <v>811156</v>
      </c>
      <c r="R26" s="182">
        <f t="shared" si="2"/>
        <v>1</v>
      </c>
      <c r="S26" s="93">
        <f t="shared" si="3"/>
        <v>54178.365999999995</v>
      </c>
    </row>
    <row r="27" spans="1:28" ht="12.75">
      <c r="A27" s="2"/>
      <c r="B27" s="2"/>
      <c r="C27" s="1"/>
      <c r="E27" s="1"/>
      <c r="F27" s="1"/>
      <c r="G27" s="1"/>
      <c r="H27" s="1"/>
      <c r="I27" s="1"/>
      <c r="J27" s="1"/>
      <c r="K27" s="1"/>
      <c r="L27" s="1"/>
      <c r="M27" s="1"/>
      <c r="N27" s="1"/>
      <c r="O27" s="1"/>
      <c r="T27" s="19"/>
      <c r="U27" s="1"/>
      <c r="V27" s="19"/>
      <c r="X27" s="19"/>
      <c r="AA27" s="19"/>
      <c r="AB27" s="1"/>
    </row>
    <row r="28" spans="1:28" ht="12.75">
      <c r="A28" s="2"/>
      <c r="B28" s="2"/>
      <c r="C28" s="1"/>
      <c r="E28" s="1"/>
      <c r="F28" s="1"/>
      <c r="G28" s="1"/>
      <c r="H28" s="1"/>
      <c r="I28" s="1"/>
      <c r="J28" s="1"/>
      <c r="K28" s="1"/>
      <c r="L28" s="1"/>
      <c r="M28" s="1"/>
      <c r="N28" s="1"/>
      <c r="O28" s="1"/>
      <c r="Q28" s="1"/>
      <c r="S28" s="1"/>
      <c r="T28" s="19"/>
      <c r="U28" s="1"/>
      <c r="AB28" s="1"/>
    </row>
    <row r="29" spans="1:28" ht="12.75">
      <c r="A29" s="2"/>
      <c r="B29" s="2"/>
      <c r="C29" s="1"/>
      <c r="E29" s="1"/>
      <c r="F29" s="1"/>
      <c r="G29" s="1"/>
      <c r="H29" s="1"/>
      <c r="I29" s="1"/>
      <c r="J29" s="1"/>
      <c r="K29" s="1"/>
      <c r="L29" s="1"/>
      <c r="M29" s="1"/>
      <c r="N29" s="1"/>
      <c r="O29" s="1"/>
      <c r="Q29" s="1"/>
      <c r="S29" s="1"/>
      <c r="T29" s="19"/>
      <c r="U29" s="1"/>
      <c r="AB29" s="1"/>
    </row>
    <row r="30" spans="1:28" ht="12.75">
      <c r="A30" s="2"/>
      <c r="B30" s="2"/>
      <c r="C30" s="1"/>
      <c r="E30" s="1"/>
      <c r="F30" s="1"/>
      <c r="G30" s="9"/>
      <c r="H30" s="9"/>
      <c r="I30" s="9"/>
      <c r="J30" s="9"/>
      <c r="K30" s="9"/>
      <c r="L30" s="1"/>
      <c r="M30" s="1"/>
      <c r="N30" s="1"/>
      <c r="O30" s="1"/>
      <c r="P30" s="19"/>
      <c r="Q30" s="1"/>
      <c r="S30" s="1"/>
      <c r="T30" s="19"/>
      <c r="U30" s="1"/>
      <c r="AB30" s="1"/>
    </row>
    <row r="31" spans="1:28" ht="12.75" customHeight="1" hidden="1">
      <c r="A31" s="2"/>
      <c r="B31" s="2"/>
      <c r="C31" s="1"/>
      <c r="E31" s="1"/>
      <c r="F31" s="1"/>
      <c r="G31" s="1"/>
      <c r="H31" s="1"/>
      <c r="I31" s="1"/>
      <c r="J31" s="1"/>
      <c r="K31" s="1"/>
      <c r="L31" s="1"/>
      <c r="M31" s="1"/>
      <c r="N31" s="1"/>
      <c r="O31" s="1"/>
      <c r="P31" s="19"/>
      <c r="Q31" s="1"/>
      <c r="S31" s="1"/>
      <c r="T31" s="19"/>
      <c r="U31" s="1"/>
      <c r="AB31" s="1"/>
    </row>
    <row r="32" ht="12.75">
      <c r="P32" s="19"/>
    </row>
    <row r="33" ht="12.75">
      <c r="P33" s="19"/>
    </row>
    <row r="34" ht="12.75">
      <c r="P34" s="19"/>
    </row>
  </sheetData>
  <sheetProtection/>
  <printOptions/>
  <pageMargins left="0.75" right="0.75" top="1" bottom="1" header="0.5" footer="0.5"/>
  <pageSetup fitToHeight="1" fitToWidth="1" horizontalDpi="600" verticalDpi="600" orientation="landscape" paperSize="5" r:id="rId1"/>
  <headerFooter alignWithMargins="0">
    <oddHeader>&amp;C&amp;A--FY02</oddHeader>
    <oddFooter>&amp;CPage &amp;P</oddFooter>
  </headerFooter>
</worksheet>
</file>

<file path=xl/worksheets/sheet4.xml><?xml version="1.0" encoding="utf-8"?>
<worksheet xmlns="http://schemas.openxmlformats.org/spreadsheetml/2006/main" xmlns:r="http://schemas.openxmlformats.org/officeDocument/2006/relationships">
  <dimension ref="A1:G28"/>
  <sheetViews>
    <sheetView zoomScalePageLayoutView="0" workbookViewId="0" topLeftCell="A6">
      <selection activeCell="E8" sqref="E8"/>
    </sheetView>
  </sheetViews>
  <sheetFormatPr defaultColWidth="9.140625" defaultRowHeight="12.75"/>
  <cols>
    <col min="1" max="1" width="5.28125" style="0" customWidth="1"/>
    <col min="2" max="2" width="20.28125" style="0" customWidth="1"/>
    <col min="7" max="7" width="7.7109375" style="0" bestFit="1" customWidth="1"/>
  </cols>
  <sheetData>
    <row r="1" spans="1:2" ht="12.75">
      <c r="A1" s="1"/>
      <c r="B1" s="1"/>
    </row>
    <row r="2" spans="1:2" ht="12.75">
      <c r="A2" s="1"/>
      <c r="B2" s="1"/>
    </row>
    <row r="3" spans="1:2" ht="12.75">
      <c r="A3" s="1"/>
      <c r="B3" s="1"/>
    </row>
    <row r="4" spans="1:2" ht="12.75">
      <c r="A4" s="1"/>
      <c r="B4" s="1"/>
    </row>
    <row r="5" spans="1:3" ht="12.75">
      <c r="A5" s="1"/>
      <c r="B5" s="1"/>
      <c r="C5" s="143" t="s">
        <v>147</v>
      </c>
    </row>
    <row r="6" spans="1:5" ht="12.75">
      <c r="A6" s="2" t="s">
        <v>9</v>
      </c>
      <c r="B6" s="2"/>
      <c r="C6" s="124"/>
      <c r="D6" s="122"/>
      <c r="E6" s="123"/>
    </row>
    <row r="7" spans="1:5" ht="12.75">
      <c r="A7" s="2"/>
      <c r="B7" s="5"/>
      <c r="C7" s="47"/>
      <c r="D7" s="36"/>
      <c r="E7" s="117" t="s">
        <v>12</v>
      </c>
    </row>
    <row r="8" spans="1:5" ht="12.75">
      <c r="A8" s="2"/>
      <c r="B8" s="5"/>
      <c r="C8" s="15" t="s">
        <v>6</v>
      </c>
      <c r="D8" s="98" t="s">
        <v>19</v>
      </c>
      <c r="E8" s="118">
        <f>+'Undergrad Income'!C34</f>
        <v>3774.35</v>
      </c>
    </row>
    <row r="9" spans="1:5" ht="12.75">
      <c r="A9" s="7" t="s">
        <v>25</v>
      </c>
      <c r="B9" s="8"/>
      <c r="C9" s="16" t="s">
        <v>127</v>
      </c>
      <c r="D9" s="13" t="s">
        <v>27</v>
      </c>
      <c r="E9" s="119" t="s">
        <v>28</v>
      </c>
    </row>
    <row r="10" spans="1:7" ht="12.75">
      <c r="A10" s="66" t="s">
        <v>34</v>
      </c>
      <c r="B10" s="67" t="s">
        <v>35</v>
      </c>
      <c r="C10" s="1">
        <v>927</v>
      </c>
      <c r="D10" s="72">
        <f>+C10/$C$26</f>
        <v>0.03396039785320462</v>
      </c>
      <c r="E10" s="120">
        <f>+$E$8*D10</f>
        <v>128.17842763724286</v>
      </c>
      <c r="G10" s="1"/>
    </row>
    <row r="11" spans="1:7" ht="12.75">
      <c r="A11" s="68" t="s">
        <v>36</v>
      </c>
      <c r="B11" s="5" t="s">
        <v>37</v>
      </c>
      <c r="C11" s="1">
        <v>5306.5</v>
      </c>
      <c r="D11" s="89">
        <f aca="true" t="shared" si="0" ref="D11:D26">+C11/$C$26</f>
        <v>0.1944022127378968</v>
      </c>
      <c r="E11" s="31">
        <f aca="true" t="shared" si="1" ref="E11:E25">+$E$8*D11</f>
        <v>733.7419916472808</v>
      </c>
      <c r="G11" s="1"/>
    </row>
    <row r="12" spans="1:7" ht="12.75">
      <c r="A12" s="68" t="s">
        <v>38</v>
      </c>
      <c r="B12" s="5" t="s">
        <v>39</v>
      </c>
      <c r="C12" s="1">
        <v>833.5</v>
      </c>
      <c r="D12" s="89">
        <f t="shared" si="0"/>
        <v>0.03053505028117158</v>
      </c>
      <c r="E12" s="31">
        <f t="shared" si="1"/>
        <v>115.24996702873995</v>
      </c>
      <c r="G12" s="1"/>
    </row>
    <row r="13" spans="1:7" ht="12.75">
      <c r="A13" s="68" t="s">
        <v>40</v>
      </c>
      <c r="B13" s="5" t="s">
        <v>41</v>
      </c>
      <c r="C13" s="1">
        <v>4112</v>
      </c>
      <c r="D13" s="89">
        <f t="shared" si="0"/>
        <v>0.15064202370267252</v>
      </c>
      <c r="E13" s="31">
        <f t="shared" si="1"/>
        <v>568.575722162182</v>
      </c>
      <c r="G13" s="1"/>
    </row>
    <row r="14" spans="1:7" ht="12.75">
      <c r="A14" s="68" t="s">
        <v>42</v>
      </c>
      <c r="B14" s="5" t="s">
        <v>43</v>
      </c>
      <c r="C14" s="1">
        <v>1336.5</v>
      </c>
      <c r="D14" s="89">
        <f t="shared" si="0"/>
        <v>0.04896232117670764</v>
      </c>
      <c r="E14" s="31">
        <f t="shared" si="1"/>
        <v>184.80093693330647</v>
      </c>
      <c r="G14" s="1"/>
    </row>
    <row r="15" spans="1:7" ht="12.75">
      <c r="A15" s="68" t="s">
        <v>44</v>
      </c>
      <c r="B15" s="5" t="s">
        <v>45</v>
      </c>
      <c r="C15" s="1">
        <v>334</v>
      </c>
      <c r="D15" s="89">
        <f t="shared" si="0"/>
        <v>0.012236000952503068</v>
      </c>
      <c r="E15" s="31">
        <f t="shared" si="1"/>
        <v>46.182950195079954</v>
      </c>
      <c r="G15" s="1"/>
    </row>
    <row r="16" spans="1:7" ht="12.75">
      <c r="A16" s="68" t="s">
        <v>46</v>
      </c>
      <c r="B16" s="5" t="s">
        <v>47</v>
      </c>
      <c r="C16" s="1">
        <v>4.5</v>
      </c>
      <c r="D16" s="89">
        <f t="shared" si="0"/>
        <v>0.00016485630025827488</v>
      </c>
      <c r="E16" s="31">
        <f t="shared" si="1"/>
        <v>0.6222253768798197</v>
      </c>
      <c r="G16" s="1"/>
    </row>
    <row r="17" spans="1:7" ht="12.75">
      <c r="A17" s="68" t="s">
        <v>48</v>
      </c>
      <c r="B17" s="5" t="s">
        <v>49</v>
      </c>
      <c r="C17" s="1">
        <v>12988.5</v>
      </c>
      <c r="D17" s="89">
        <f t="shared" si="0"/>
        <v>0.47583023464546736</v>
      </c>
      <c r="E17" s="31">
        <f t="shared" si="1"/>
        <v>1795.9498461341198</v>
      </c>
      <c r="G17" s="1"/>
    </row>
    <row r="18" spans="1:7" ht="12.75">
      <c r="A18" s="68" t="s">
        <v>50</v>
      </c>
      <c r="B18" s="5" t="s">
        <v>51</v>
      </c>
      <c r="C18" s="1">
        <v>1217.5</v>
      </c>
      <c r="D18" s="89">
        <f t="shared" si="0"/>
        <v>0.04460278790321103</v>
      </c>
      <c r="E18" s="31">
        <f t="shared" si="1"/>
        <v>168.34653252248455</v>
      </c>
      <c r="G18" s="1"/>
    </row>
    <row r="19" spans="1:7" ht="12.75">
      <c r="A19" s="68" t="s">
        <v>52</v>
      </c>
      <c r="B19" s="5" t="s">
        <v>53</v>
      </c>
      <c r="C19" s="1">
        <v>13.5</v>
      </c>
      <c r="D19" s="89">
        <f t="shared" si="0"/>
        <v>0.0004945689007748247</v>
      </c>
      <c r="E19" s="31">
        <f t="shared" si="1"/>
        <v>1.8666761306394595</v>
      </c>
      <c r="G19" s="1"/>
    </row>
    <row r="20" spans="1:7" ht="12.75">
      <c r="A20" s="69" t="s">
        <v>54</v>
      </c>
      <c r="B20" s="5" t="s">
        <v>55</v>
      </c>
      <c r="C20" s="1">
        <v>0</v>
      </c>
      <c r="D20" s="89">
        <f t="shared" si="0"/>
        <v>0</v>
      </c>
      <c r="E20" s="31">
        <f t="shared" si="1"/>
        <v>0</v>
      </c>
      <c r="G20" s="1"/>
    </row>
    <row r="21" spans="1:7" ht="12.75">
      <c r="A21" s="68" t="s">
        <v>56</v>
      </c>
      <c r="B21" s="5" t="s">
        <v>57</v>
      </c>
      <c r="C21" s="1">
        <v>203.5</v>
      </c>
      <c r="D21" s="89">
        <f t="shared" si="0"/>
        <v>0.007455168245013097</v>
      </c>
      <c r="E21" s="31">
        <f t="shared" si="1"/>
        <v>28.138414265565185</v>
      </c>
      <c r="G21" s="1"/>
    </row>
    <row r="22" spans="1:7" ht="12.75">
      <c r="A22" s="68" t="s">
        <v>58</v>
      </c>
      <c r="B22" s="5" t="s">
        <v>59</v>
      </c>
      <c r="C22" s="1">
        <v>0</v>
      </c>
      <c r="D22" s="89">
        <f t="shared" si="0"/>
        <v>0</v>
      </c>
      <c r="E22" s="31">
        <f t="shared" si="1"/>
        <v>0</v>
      </c>
      <c r="G22" s="1"/>
    </row>
    <row r="23" spans="1:7" ht="12.75">
      <c r="A23" s="68" t="s">
        <v>60</v>
      </c>
      <c r="B23" s="5" t="s">
        <v>61</v>
      </c>
      <c r="C23" s="1">
        <v>4</v>
      </c>
      <c r="D23" s="89">
        <f t="shared" si="0"/>
        <v>0.000146538933562911</v>
      </c>
      <c r="E23" s="31">
        <f t="shared" si="1"/>
        <v>0.553089223893173</v>
      </c>
      <c r="G23" s="1"/>
    </row>
    <row r="24" spans="1:7" ht="12.75">
      <c r="A24" s="69" t="s">
        <v>62</v>
      </c>
      <c r="B24" s="5" t="s">
        <v>63</v>
      </c>
      <c r="C24" s="1"/>
      <c r="D24" s="89"/>
      <c r="E24" s="31">
        <f>+'Undergrad Income'!C32</f>
        <v>198.65</v>
      </c>
      <c r="G24" s="1"/>
    </row>
    <row r="25" spans="1:7" ht="12.75">
      <c r="A25" s="68" t="s">
        <v>64</v>
      </c>
      <c r="B25" s="5" t="s">
        <v>65</v>
      </c>
      <c r="C25" s="1">
        <v>15.5</v>
      </c>
      <c r="D25" s="89">
        <f t="shared" si="0"/>
        <v>0.0005678383675562801</v>
      </c>
      <c r="E25" s="31">
        <f t="shared" si="1"/>
        <v>2.143220742586046</v>
      </c>
      <c r="G25" s="1"/>
    </row>
    <row r="26" spans="1:7" ht="12.75">
      <c r="A26" s="125" t="s">
        <v>66</v>
      </c>
      <c r="B26" s="126"/>
      <c r="C26" s="109">
        <f>SUM(C10:C25)</f>
        <v>27296.5</v>
      </c>
      <c r="D26" s="90">
        <f t="shared" si="0"/>
        <v>1</v>
      </c>
      <c r="E26" s="77">
        <f>SUM(E10:E25)</f>
        <v>3973</v>
      </c>
      <c r="G26" s="19"/>
    </row>
    <row r="27" spans="1:2" ht="12.75">
      <c r="A27" s="2"/>
      <c r="B27" s="2"/>
    </row>
    <row r="28" spans="1:2" ht="12.75">
      <c r="A28" s="2"/>
      <c r="B28" s="2"/>
    </row>
  </sheetData>
  <sheetProtection/>
  <printOptions/>
  <pageMargins left="0.75" right="0.75" top="1" bottom="1" header="0.5" footer="0.5"/>
  <pageSetup horizontalDpi="600" verticalDpi="600" orientation="portrait" r:id="rId1"/>
  <headerFooter alignWithMargins="0">
    <oddHeader>&amp;C&amp;A--FY01</oddHeader>
    <oddFooter>&amp;CPage &amp;P</oddFooter>
  </headerFooter>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selection activeCell="B14" sqref="B14"/>
    </sheetView>
  </sheetViews>
  <sheetFormatPr defaultColWidth="8.8515625" defaultRowHeight="12.75"/>
  <cols>
    <col min="1" max="1" width="27.00390625" style="1" customWidth="1"/>
    <col min="2" max="2" width="7.8515625" style="1" bestFit="1" customWidth="1"/>
    <col min="3" max="3" width="8.8515625" style="1" customWidth="1"/>
    <col min="4" max="4" width="8.421875" style="1" bestFit="1" customWidth="1"/>
    <col min="5" max="16384" width="8.8515625" style="1" customWidth="1"/>
  </cols>
  <sheetData>
    <row r="1" spans="1:7" ht="12.75">
      <c r="A1" s="188" t="s">
        <v>137</v>
      </c>
      <c r="B1" s="188"/>
      <c r="C1" s="188"/>
      <c r="D1" s="188"/>
      <c r="E1" s="188"/>
      <c r="F1" s="188"/>
      <c r="G1" s="188"/>
    </row>
    <row r="3" ht="12.75">
      <c r="A3" s="10" t="s">
        <v>67</v>
      </c>
    </row>
    <row r="7" spans="1:4" ht="12.75">
      <c r="A7" s="1" t="s">
        <v>158</v>
      </c>
      <c r="B7" s="11">
        <v>6790</v>
      </c>
      <c r="C7" s="1" t="s">
        <v>138</v>
      </c>
      <c r="D7" s="149"/>
    </row>
    <row r="8" spans="2:4" ht="12.75">
      <c r="B8" s="11"/>
      <c r="D8" s="149"/>
    </row>
    <row r="9" spans="1:4" ht="12.75">
      <c r="A9" s="1" t="s">
        <v>159</v>
      </c>
      <c r="B9" s="1">
        <f>+B7*0.05</f>
        <v>339.5</v>
      </c>
      <c r="D9" s="149"/>
    </row>
    <row r="11" spans="1:2" ht="12.75">
      <c r="A11" s="1" t="s">
        <v>160</v>
      </c>
      <c r="B11" s="1">
        <v>40</v>
      </c>
    </row>
    <row r="13" spans="1:2" ht="12.75">
      <c r="A13" s="1" t="s">
        <v>161</v>
      </c>
      <c r="B13" s="1">
        <f>+B7+B9+B11</f>
        <v>7169.5</v>
      </c>
    </row>
    <row r="18" ht="12.75">
      <c r="A18" s="10" t="s">
        <v>5</v>
      </c>
    </row>
    <row r="21" spans="1:2" ht="12.75">
      <c r="A21" s="1" t="s">
        <v>68</v>
      </c>
      <c r="B21" s="1">
        <v>810</v>
      </c>
    </row>
    <row r="24" spans="1:2" ht="15">
      <c r="A24" s="1" t="s">
        <v>69</v>
      </c>
      <c r="B24" s="100">
        <f>+B21*0.05</f>
        <v>40.5</v>
      </c>
    </row>
    <row r="27" spans="1:2" ht="12.75">
      <c r="A27" s="1" t="s">
        <v>2</v>
      </c>
      <c r="B27" s="11">
        <f>+B21-B24</f>
        <v>769.5</v>
      </c>
    </row>
  </sheetData>
  <sheetProtection/>
  <mergeCells count="1">
    <mergeCell ref="A1:G1"/>
  </mergeCells>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B1">
      <selection activeCell="I25" sqref="I25"/>
    </sheetView>
  </sheetViews>
  <sheetFormatPr defaultColWidth="9.140625" defaultRowHeight="12.75"/>
  <cols>
    <col min="1" max="1" width="3.7109375" style="0" customWidth="1"/>
    <col min="2" max="2" width="20.28125" style="0" customWidth="1"/>
    <col min="3" max="3" width="12.421875" style="0" customWidth="1"/>
    <col min="4" max="4" width="11.421875" style="0" customWidth="1"/>
    <col min="5" max="7" width="12.421875" style="0" customWidth="1"/>
    <col min="8" max="8" width="8.140625" style="0" customWidth="1"/>
    <col min="9" max="9" width="9.421875" style="0" bestFit="1" customWidth="1"/>
    <col min="10" max="10" width="1.28515625" style="0" customWidth="1"/>
    <col min="11" max="11" width="11.28125" style="0" bestFit="1" customWidth="1"/>
  </cols>
  <sheetData>
    <row r="1" spans="3:10" ht="12.75">
      <c r="C1" s="1"/>
      <c r="D1" s="1"/>
      <c r="E1" s="1"/>
      <c r="F1" s="1"/>
      <c r="G1" s="1"/>
      <c r="H1" s="1"/>
      <c r="I1" s="1"/>
      <c r="J1" s="1"/>
    </row>
    <row r="2" spans="3:10" ht="12.75">
      <c r="C2" s="1"/>
      <c r="D2" s="1"/>
      <c r="E2" s="1"/>
      <c r="F2" s="1"/>
      <c r="G2" s="1"/>
      <c r="H2" s="1"/>
      <c r="I2" s="1"/>
      <c r="J2" s="1"/>
    </row>
    <row r="3" spans="3:10" ht="12.75">
      <c r="C3" s="1"/>
      <c r="D3" s="1"/>
      <c r="E3" s="1"/>
      <c r="F3" s="1"/>
      <c r="G3" s="1"/>
      <c r="H3" s="1"/>
      <c r="I3" s="1"/>
      <c r="J3" s="1"/>
    </row>
    <row r="4" spans="3:10" ht="12.75">
      <c r="C4" s="1"/>
      <c r="D4" s="1"/>
      <c r="E4" s="1"/>
      <c r="F4" s="1"/>
      <c r="G4" s="1"/>
      <c r="H4" s="1"/>
      <c r="I4" s="1"/>
      <c r="J4" s="1"/>
    </row>
    <row r="5" spans="3:10" ht="12.75">
      <c r="C5" s="189" t="s">
        <v>147</v>
      </c>
      <c r="D5" s="189"/>
      <c r="E5" s="189"/>
      <c r="F5" s="189"/>
      <c r="G5" s="189"/>
      <c r="H5" s="189"/>
      <c r="I5" s="1"/>
      <c r="J5" s="1"/>
    </row>
    <row r="6" spans="2:11" ht="13.5" thickBot="1">
      <c r="B6" s="24"/>
      <c r="C6" s="3" t="s">
        <v>136</v>
      </c>
      <c r="D6" s="4"/>
      <c r="E6" s="25"/>
      <c r="F6" s="4"/>
      <c r="G6" s="25"/>
      <c r="H6" s="26"/>
      <c r="I6" s="27"/>
      <c r="J6" s="82"/>
      <c r="K6" s="78"/>
    </row>
    <row r="7" spans="2:11" ht="13.5" thickTop="1">
      <c r="B7" s="24"/>
      <c r="C7" s="15"/>
      <c r="D7" s="12" t="s">
        <v>13</v>
      </c>
      <c r="E7" s="21" t="s">
        <v>14</v>
      </c>
      <c r="F7" s="12" t="s">
        <v>15</v>
      </c>
      <c r="G7" s="76"/>
      <c r="H7" s="23" t="s">
        <v>70</v>
      </c>
      <c r="I7" s="28" t="s">
        <v>12</v>
      </c>
      <c r="J7" s="83"/>
      <c r="K7" s="28" t="s">
        <v>135</v>
      </c>
    </row>
    <row r="8" spans="2:11" ht="12.75">
      <c r="B8" s="24"/>
      <c r="C8" s="15" t="s">
        <v>18</v>
      </c>
      <c r="D8" s="12" t="s">
        <v>20</v>
      </c>
      <c r="E8" s="21" t="s">
        <v>71</v>
      </c>
      <c r="F8" s="12" t="s">
        <v>72</v>
      </c>
      <c r="G8" s="21" t="s">
        <v>26</v>
      </c>
      <c r="H8" s="21" t="s">
        <v>73</v>
      </c>
      <c r="I8" s="29">
        <f>+'Grad Income'!B13</f>
        <v>7169.5</v>
      </c>
      <c r="J8" s="83"/>
      <c r="K8" s="28" t="s">
        <v>74</v>
      </c>
    </row>
    <row r="9" spans="1:11" ht="12.75">
      <c r="A9" s="7" t="s">
        <v>25</v>
      </c>
      <c r="B9" s="8"/>
      <c r="C9" s="16" t="s">
        <v>26</v>
      </c>
      <c r="D9" s="13" t="s">
        <v>29</v>
      </c>
      <c r="E9" s="22" t="s">
        <v>26</v>
      </c>
      <c r="F9" s="13" t="s">
        <v>25</v>
      </c>
      <c r="G9" s="22" t="s">
        <v>75</v>
      </c>
      <c r="H9" s="22" t="s">
        <v>27</v>
      </c>
      <c r="I9" s="30" t="s">
        <v>76</v>
      </c>
      <c r="J9" s="84"/>
      <c r="K9" s="30" t="s">
        <v>77</v>
      </c>
    </row>
    <row r="10" spans="1:11" ht="12.75">
      <c r="A10" s="2" t="s">
        <v>34</v>
      </c>
      <c r="B10" s="2" t="s">
        <v>35</v>
      </c>
      <c r="C10" s="51">
        <v>3417060</v>
      </c>
      <c r="D10" s="148">
        <v>0</v>
      </c>
      <c r="E10" s="71">
        <f>+D10+C10</f>
        <v>3417060</v>
      </c>
      <c r="F10" s="52">
        <v>3198634.5</v>
      </c>
      <c r="G10" s="52">
        <f aca="true" t="shared" si="0" ref="G10:G25">+E10-F10</f>
        <v>218425.5</v>
      </c>
      <c r="H10" s="89">
        <f>+G10/$G$26</f>
        <v>0.03338678059237803</v>
      </c>
      <c r="I10" s="73">
        <f aca="true" t="shared" si="1" ref="I10:I26">+$I$8*H10</f>
        <v>239.3665234570543</v>
      </c>
      <c r="J10" s="83"/>
      <c r="K10" s="74"/>
    </row>
    <row r="11" spans="1:14" ht="12.75">
      <c r="A11" s="2" t="s">
        <v>36</v>
      </c>
      <c r="B11" s="2" t="s">
        <v>37</v>
      </c>
      <c r="C11" s="54">
        <f>5083122.5-C31</f>
        <v>1914278</v>
      </c>
      <c r="D11" s="140">
        <f>2376357.5-D31</f>
        <v>0</v>
      </c>
      <c r="E11" s="75">
        <f aca="true" t="shared" si="2" ref="E11:E23">+D11+C11</f>
        <v>1914278</v>
      </c>
      <c r="F11" s="55">
        <f>1917312.5-F31</f>
        <v>1675361</v>
      </c>
      <c r="G11" s="55">
        <f t="shared" si="0"/>
        <v>238917</v>
      </c>
      <c r="H11" s="89">
        <f aca="true" t="shared" si="3" ref="H11:H26">+G11/$G$26</f>
        <v>0.03651894791949284</v>
      </c>
      <c r="I11" s="31">
        <f t="shared" si="1"/>
        <v>261.8225971088039</v>
      </c>
      <c r="J11" s="83"/>
      <c r="K11" s="186">
        <f>10227*1.05</f>
        <v>10738.35</v>
      </c>
      <c r="L11" s="19">
        <f>+K11+I11</f>
        <v>11000.172597108804</v>
      </c>
      <c r="N11" s="19"/>
    </row>
    <row r="12" spans="1:11" ht="12.75">
      <c r="A12" s="2" t="s">
        <v>38</v>
      </c>
      <c r="B12" s="2" t="s">
        <v>39</v>
      </c>
      <c r="C12" s="54">
        <v>3515510.5</v>
      </c>
      <c r="D12" s="140">
        <v>0</v>
      </c>
      <c r="E12" s="75">
        <f t="shared" si="2"/>
        <v>3515510.5</v>
      </c>
      <c r="F12" s="55">
        <v>2895355.5</v>
      </c>
      <c r="G12" s="55">
        <f t="shared" si="0"/>
        <v>620155</v>
      </c>
      <c r="H12" s="89">
        <f t="shared" si="3"/>
        <v>0.09479194928369719</v>
      </c>
      <c r="I12" s="31">
        <f t="shared" si="1"/>
        <v>679.610880389467</v>
      </c>
      <c r="J12" s="83"/>
      <c r="K12" s="32"/>
    </row>
    <row r="13" spans="1:11" ht="12.75">
      <c r="A13" s="2" t="s">
        <v>40</v>
      </c>
      <c r="B13" s="2" t="s">
        <v>41</v>
      </c>
      <c r="C13" s="54">
        <v>17501645.5</v>
      </c>
      <c r="D13" s="140">
        <v>1037736</v>
      </c>
      <c r="E13" s="75">
        <f t="shared" si="2"/>
        <v>18539381.5</v>
      </c>
      <c r="F13" s="55">
        <v>16973794</v>
      </c>
      <c r="G13" s="55">
        <f t="shared" si="0"/>
        <v>1565587.5</v>
      </c>
      <c r="H13" s="89">
        <f t="shared" si="3"/>
        <v>0.2393032240313958</v>
      </c>
      <c r="I13" s="31">
        <f t="shared" si="1"/>
        <v>1715.6844646930922</v>
      </c>
      <c r="J13" s="83"/>
      <c r="K13" s="32"/>
    </row>
    <row r="14" spans="1:11" ht="12.75">
      <c r="A14" s="2" t="s">
        <v>42</v>
      </c>
      <c r="B14" s="2" t="s">
        <v>43</v>
      </c>
      <c r="C14" s="54">
        <v>5311812.5</v>
      </c>
      <c r="D14" s="140">
        <v>196325.5</v>
      </c>
      <c r="E14" s="75">
        <f t="shared" si="2"/>
        <v>5508138</v>
      </c>
      <c r="F14" s="55">
        <v>4545384</v>
      </c>
      <c r="G14" s="55">
        <f t="shared" si="0"/>
        <v>962754</v>
      </c>
      <c r="H14" s="89">
        <f t="shared" si="3"/>
        <v>0.14715890114677233</v>
      </c>
      <c r="I14" s="31">
        <f t="shared" si="1"/>
        <v>1055.0557417717841</v>
      </c>
      <c r="J14" s="83"/>
      <c r="K14" s="32"/>
    </row>
    <row r="15" spans="1:11" ht="12.75">
      <c r="A15" s="2" t="s">
        <v>44</v>
      </c>
      <c r="B15" s="2" t="s">
        <v>45</v>
      </c>
      <c r="C15" s="54">
        <v>626249.5</v>
      </c>
      <c r="D15" s="140">
        <v>0</v>
      </c>
      <c r="E15" s="75">
        <f t="shared" si="2"/>
        <v>626249.5</v>
      </c>
      <c r="F15" s="55">
        <v>560870.5</v>
      </c>
      <c r="G15" s="55">
        <f t="shared" si="0"/>
        <v>65379</v>
      </c>
      <c r="H15" s="89">
        <f t="shared" si="3"/>
        <v>0.009993312723784922</v>
      </c>
      <c r="I15" s="31">
        <f t="shared" si="1"/>
        <v>71.64705557317599</v>
      </c>
      <c r="J15" s="83"/>
      <c r="K15" s="32"/>
    </row>
    <row r="16" spans="1:11" ht="12.75">
      <c r="A16" s="2" t="s">
        <v>46</v>
      </c>
      <c r="B16" s="2" t="s">
        <v>47</v>
      </c>
      <c r="C16" s="54">
        <v>358152.5</v>
      </c>
      <c r="D16" s="140">
        <v>242214.5</v>
      </c>
      <c r="E16" s="75">
        <f t="shared" si="2"/>
        <v>600367</v>
      </c>
      <c r="F16" s="55">
        <v>86134.5</v>
      </c>
      <c r="G16" s="55"/>
      <c r="H16" s="89">
        <f t="shared" si="3"/>
        <v>0</v>
      </c>
      <c r="I16" s="31">
        <f t="shared" si="1"/>
        <v>0</v>
      </c>
      <c r="J16" s="83"/>
      <c r="K16" s="32"/>
    </row>
    <row r="17" spans="1:11" ht="12.75">
      <c r="A17" s="2" t="s">
        <v>48</v>
      </c>
      <c r="B17" s="2" t="s">
        <v>49</v>
      </c>
      <c r="C17" s="54">
        <v>18416624</v>
      </c>
      <c r="D17" s="140">
        <v>386366.5</v>
      </c>
      <c r="E17" s="75">
        <f t="shared" si="2"/>
        <v>18802990.5</v>
      </c>
      <c r="F17" s="55">
        <v>17663940.5</v>
      </c>
      <c r="G17" s="55">
        <f t="shared" si="0"/>
        <v>1139050</v>
      </c>
      <c r="H17" s="89">
        <f t="shared" si="3"/>
        <v>0.17410610223507877</v>
      </c>
      <c r="I17" s="31">
        <f t="shared" si="1"/>
        <v>1248.2536999743973</v>
      </c>
      <c r="J17" s="83"/>
      <c r="K17" s="32"/>
    </row>
    <row r="18" spans="1:11" ht="12.75">
      <c r="A18" s="2" t="s">
        <v>50</v>
      </c>
      <c r="B18" s="2" t="s">
        <v>51</v>
      </c>
      <c r="C18" s="54">
        <v>1231340</v>
      </c>
      <c r="D18" s="140">
        <v>0</v>
      </c>
      <c r="E18" s="75">
        <f t="shared" si="2"/>
        <v>1231340</v>
      </c>
      <c r="F18" s="55">
        <v>1061178</v>
      </c>
      <c r="G18" s="55">
        <f t="shared" si="0"/>
        <v>170162</v>
      </c>
      <c r="H18" s="89">
        <f t="shared" si="3"/>
        <v>0.026009606749945548</v>
      </c>
      <c r="I18" s="31">
        <f t="shared" si="1"/>
        <v>186.4758755937346</v>
      </c>
      <c r="J18" s="83"/>
      <c r="K18" s="32"/>
    </row>
    <row r="19" spans="1:11" ht="12.75">
      <c r="A19" s="2" t="s">
        <v>52</v>
      </c>
      <c r="B19" s="2" t="s">
        <v>53</v>
      </c>
      <c r="C19" s="54">
        <v>559906.5</v>
      </c>
      <c r="D19" s="140">
        <v>0</v>
      </c>
      <c r="E19" s="75">
        <f t="shared" si="2"/>
        <v>559906.5</v>
      </c>
      <c r="F19" s="55">
        <v>504374</v>
      </c>
      <c r="G19" s="55">
        <f t="shared" si="0"/>
        <v>55532.5</v>
      </c>
      <c r="H19" s="89">
        <f t="shared" si="3"/>
        <v>0.008488255232315976</v>
      </c>
      <c r="I19" s="31">
        <f t="shared" si="1"/>
        <v>60.856545888089386</v>
      </c>
      <c r="J19" s="83"/>
      <c r="K19" s="32"/>
    </row>
    <row r="20" spans="1:11" ht="12.75">
      <c r="A20" s="18" t="s">
        <v>54</v>
      </c>
      <c r="B20" s="2" t="s">
        <v>55</v>
      </c>
      <c r="C20" s="54"/>
      <c r="D20" s="140"/>
      <c r="E20" s="75">
        <f t="shared" si="2"/>
        <v>0</v>
      </c>
      <c r="F20" s="55"/>
      <c r="G20" s="55">
        <f t="shared" si="0"/>
        <v>0</v>
      </c>
      <c r="H20" s="89">
        <f t="shared" si="3"/>
        <v>0</v>
      </c>
      <c r="I20" s="31">
        <f t="shared" si="1"/>
        <v>0</v>
      </c>
      <c r="J20" s="83"/>
      <c r="K20" s="32"/>
    </row>
    <row r="21" spans="1:11" ht="12.75">
      <c r="A21" s="2" t="s">
        <v>56</v>
      </c>
      <c r="B21" s="2" t="s">
        <v>57</v>
      </c>
      <c r="C21" s="54">
        <v>0</v>
      </c>
      <c r="D21" s="140">
        <v>0</v>
      </c>
      <c r="E21" s="75">
        <f t="shared" si="2"/>
        <v>0</v>
      </c>
      <c r="F21">
        <v>0</v>
      </c>
      <c r="G21" s="55">
        <f t="shared" si="0"/>
        <v>0</v>
      </c>
      <c r="H21" s="89">
        <f t="shared" si="3"/>
        <v>0</v>
      </c>
      <c r="I21" s="31">
        <f t="shared" si="1"/>
        <v>0</v>
      </c>
      <c r="J21" s="83"/>
      <c r="K21" s="32"/>
    </row>
    <row r="22" spans="1:11" ht="12.75">
      <c r="A22" s="2" t="s">
        <v>58</v>
      </c>
      <c r="B22" s="2" t="s">
        <v>59</v>
      </c>
      <c r="C22" s="54">
        <v>770353.5</v>
      </c>
      <c r="D22" s="140">
        <v>0</v>
      </c>
      <c r="E22" s="75">
        <f t="shared" si="2"/>
        <v>770353.5</v>
      </c>
      <c r="F22" s="1">
        <v>510657.5</v>
      </c>
      <c r="G22" s="55">
        <f t="shared" si="0"/>
        <v>259696</v>
      </c>
      <c r="H22" s="89">
        <f t="shared" si="3"/>
        <v>0.03969506020459244</v>
      </c>
      <c r="I22" s="31">
        <f t="shared" si="1"/>
        <v>284.5937341368255</v>
      </c>
      <c r="J22" s="83"/>
      <c r="K22" s="32"/>
    </row>
    <row r="23" spans="1:11" ht="12.75">
      <c r="A23" s="2" t="s">
        <v>60</v>
      </c>
      <c r="B23" s="2" t="s">
        <v>61</v>
      </c>
      <c r="C23" s="54">
        <v>1237836</v>
      </c>
      <c r="D23" s="140">
        <v>0</v>
      </c>
      <c r="E23" s="75">
        <f t="shared" si="2"/>
        <v>1237836</v>
      </c>
      <c r="F23" s="55">
        <v>423843</v>
      </c>
      <c r="G23" s="55">
        <f t="shared" si="0"/>
        <v>813993</v>
      </c>
      <c r="H23" s="89">
        <f t="shared" si="3"/>
        <v>0.12442048064320134</v>
      </c>
      <c r="I23" s="31">
        <f t="shared" si="1"/>
        <v>892.032635971432</v>
      </c>
      <c r="J23" s="83"/>
      <c r="K23" s="32"/>
    </row>
    <row r="24" spans="1:11" ht="12.75">
      <c r="A24" s="18" t="s">
        <v>62</v>
      </c>
      <c r="B24" s="2" t="s">
        <v>63</v>
      </c>
      <c r="C24" s="54">
        <v>0</v>
      </c>
      <c r="D24" s="140">
        <v>0</v>
      </c>
      <c r="E24" s="75">
        <f>+D24+C24</f>
        <v>0</v>
      </c>
      <c r="G24" s="55">
        <f t="shared" si="0"/>
        <v>0</v>
      </c>
      <c r="H24" s="89"/>
      <c r="I24" s="31"/>
      <c r="J24" s="83"/>
      <c r="K24" s="32"/>
    </row>
    <row r="25" spans="1:11" ht="12.75">
      <c r="A25" s="2" t="s">
        <v>64</v>
      </c>
      <c r="B25" s="2" t="s">
        <v>65</v>
      </c>
      <c r="C25" s="54">
        <v>1402913.5</v>
      </c>
      <c r="D25" s="140">
        <v>100277</v>
      </c>
      <c r="E25" s="75">
        <f>+D25+C25</f>
        <v>1503190.5</v>
      </c>
      <c r="F25" s="55">
        <v>1070567</v>
      </c>
      <c r="G25" s="55">
        <f t="shared" si="0"/>
        <v>432623.5</v>
      </c>
      <c r="H25" s="89">
        <f t="shared" si="3"/>
        <v>0.06612737923734481</v>
      </c>
      <c r="I25" s="31">
        <f t="shared" si="1"/>
        <v>474.1002454421436</v>
      </c>
      <c r="J25" s="83"/>
      <c r="K25" s="32"/>
    </row>
    <row r="26" spans="1:11" ht="12.75">
      <c r="A26" s="2" t="s">
        <v>66</v>
      </c>
      <c r="B26" s="2"/>
      <c r="C26" s="57">
        <f>SUM(C10:C25)</f>
        <v>56263682</v>
      </c>
      <c r="D26" s="57">
        <f>SUM(D10:D25)</f>
        <v>1962919.5</v>
      </c>
      <c r="E26" s="57">
        <f>SUM(E10:E25)</f>
        <v>58226601.5</v>
      </c>
      <c r="F26" s="57">
        <f>SUM(F10:F25)</f>
        <v>51170094</v>
      </c>
      <c r="G26" s="58">
        <f>SUM(G10:G25)</f>
        <v>6542275</v>
      </c>
      <c r="H26" s="114">
        <f t="shared" si="3"/>
        <v>1</v>
      </c>
      <c r="I26" s="77">
        <f t="shared" si="1"/>
        <v>7169.5</v>
      </c>
      <c r="J26" s="84"/>
      <c r="K26" s="77">
        <f>SUM(K10:K25)</f>
        <v>10738.35</v>
      </c>
    </row>
    <row r="27" spans="3:9" ht="12.75">
      <c r="C27" s="190" t="s">
        <v>147</v>
      </c>
      <c r="D27" s="190"/>
      <c r="E27" s="190"/>
      <c r="F27" s="190"/>
      <c r="G27" s="190"/>
      <c r="H27" s="79"/>
      <c r="I27" s="19"/>
    </row>
    <row r="28" spans="2:9" ht="12.75">
      <c r="B28" t="s">
        <v>157</v>
      </c>
      <c r="C28" s="140">
        <v>3220769</v>
      </c>
      <c r="D28" s="140">
        <v>2396534</v>
      </c>
      <c r="E28" s="75">
        <f>+C28+D28</f>
        <v>5617303</v>
      </c>
      <c r="F28" s="133">
        <v>243327</v>
      </c>
      <c r="G28" s="140">
        <f>+E28-F28</f>
        <v>5373976</v>
      </c>
      <c r="I28" s="150"/>
    </row>
    <row r="29" spans="2:7" ht="15">
      <c r="B29">
        <v>2001</v>
      </c>
      <c r="C29" s="140">
        <v>3116920</v>
      </c>
      <c r="D29" s="140">
        <v>2356181</v>
      </c>
      <c r="E29" s="75">
        <f>+C29+D29</f>
        <v>5473101</v>
      </c>
      <c r="F29" s="133">
        <v>240576</v>
      </c>
      <c r="G29" s="134">
        <f>+E29-F29</f>
        <v>5232525</v>
      </c>
    </row>
    <row r="30" spans="3:8" ht="12.75">
      <c r="C30" s="75">
        <f>+C28+C29</f>
        <v>6337689</v>
      </c>
      <c r="D30" s="75">
        <f>+D28+D29</f>
        <v>4752715</v>
      </c>
      <c r="E30" s="75">
        <f>+C30+D30</f>
        <v>11090404</v>
      </c>
      <c r="F30" s="75">
        <f>+F28+F29</f>
        <v>483903</v>
      </c>
      <c r="G30" s="55">
        <f>+E30-F30</f>
        <v>10606501</v>
      </c>
      <c r="H30" s="19"/>
    </row>
    <row r="31" spans="3:7" ht="12.75">
      <c r="C31" s="1">
        <f>+C30/2</f>
        <v>3168844.5</v>
      </c>
      <c r="D31" s="1">
        <f>+D30/2</f>
        <v>2376357.5</v>
      </c>
      <c r="E31" s="1">
        <f>+E30/2</f>
        <v>5545202</v>
      </c>
      <c r="F31" s="1">
        <f>+F30/2</f>
        <v>241951.5</v>
      </c>
      <c r="G31" s="1">
        <f>+G30/2</f>
        <v>5303250.5</v>
      </c>
    </row>
    <row r="34" spans="3:6" ht="12.75">
      <c r="C34" s="140"/>
      <c r="D34" s="140"/>
      <c r="E34" s="140"/>
      <c r="F34" s="140"/>
    </row>
    <row r="35" spans="3:6" ht="12.75">
      <c r="C35" s="55"/>
      <c r="D35" s="55"/>
      <c r="E35" s="55"/>
      <c r="F35" s="55"/>
    </row>
    <row r="36" spans="3:6" ht="12.75">
      <c r="C36" s="1">
        <f>+C35+C34</f>
        <v>0</v>
      </c>
      <c r="D36" s="1">
        <f>+D35+D34</f>
        <v>0</v>
      </c>
      <c r="E36" s="1">
        <f>+E35+E34</f>
        <v>0</v>
      </c>
      <c r="F36" s="1">
        <f>+F35+F34</f>
        <v>0</v>
      </c>
    </row>
    <row r="37" spans="3:6" ht="12.75">
      <c r="C37" s="1"/>
      <c r="D37" s="1"/>
      <c r="E37" s="1"/>
      <c r="F37" s="1"/>
    </row>
    <row r="38" spans="3:6" ht="12.75">
      <c r="C38" s="1"/>
      <c r="D38" s="1"/>
      <c r="E38" s="1"/>
      <c r="F38" s="1"/>
    </row>
  </sheetData>
  <sheetProtection/>
  <mergeCells count="2">
    <mergeCell ref="C5:H5"/>
    <mergeCell ref="C27:G27"/>
  </mergeCells>
  <printOptions/>
  <pageMargins left="0.75" right="0.75" top="1" bottom="1" header="0.5" footer="0.5"/>
  <pageSetup fitToHeight="1" fitToWidth="1" horizontalDpi="600" verticalDpi="600" orientation="landscape" scale="99" r:id="rId3"/>
  <headerFooter alignWithMargins="0">
    <oddHeader>&amp;C&amp;A--FY02</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C11" sqref="C11"/>
    </sheetView>
  </sheetViews>
  <sheetFormatPr defaultColWidth="9.140625" defaultRowHeight="12.75"/>
  <cols>
    <col min="1" max="1" width="3.140625" style="0" customWidth="1"/>
    <col min="2" max="2" width="20.28125" style="0" customWidth="1"/>
    <col min="3" max="3" width="10.421875" style="0" customWidth="1"/>
    <col min="4" max="4" width="10.140625" style="0" bestFit="1" customWidth="1"/>
    <col min="6" max="6" width="2.140625" style="1" customWidth="1"/>
    <col min="7" max="7" width="2.57421875" style="0" customWidth="1"/>
  </cols>
  <sheetData>
    <row r="1" spans="1:7" ht="12.75">
      <c r="A1" s="191" t="s">
        <v>164</v>
      </c>
      <c r="B1" s="191"/>
      <c r="C1" s="191"/>
      <c r="D1" s="191"/>
      <c r="E1" s="191"/>
      <c r="F1" s="139"/>
      <c r="G1" s="139"/>
    </row>
    <row r="2" spans="1:7" ht="12.75">
      <c r="A2" s="191"/>
      <c r="B2" s="191"/>
      <c r="C2" s="191"/>
      <c r="D2" s="191"/>
      <c r="E2" s="191"/>
      <c r="F2" s="139"/>
      <c r="G2" s="139"/>
    </row>
    <row r="5" ht="12.75" customHeight="1">
      <c r="C5" s="143" t="s">
        <v>147</v>
      </c>
    </row>
    <row r="6" spans="1:5" ht="12.75">
      <c r="A6" s="2" t="s">
        <v>9</v>
      </c>
      <c r="B6" s="2"/>
      <c r="C6" s="192"/>
      <c r="D6" s="193"/>
      <c r="E6" s="194"/>
    </row>
    <row r="7" spans="1:5" ht="12.75">
      <c r="A7" s="2"/>
      <c r="B7" s="5"/>
      <c r="C7" s="108" t="s">
        <v>78</v>
      </c>
      <c r="D7" s="36"/>
      <c r="E7" s="117" t="s">
        <v>12</v>
      </c>
    </row>
    <row r="8" spans="1:5" ht="12.75">
      <c r="A8" s="2"/>
      <c r="B8" s="5"/>
      <c r="C8" s="21" t="s">
        <v>79</v>
      </c>
      <c r="D8" s="98" t="s">
        <v>19</v>
      </c>
      <c r="E8" s="118">
        <f>+'Grad Income'!B27</f>
        <v>769.5</v>
      </c>
    </row>
    <row r="9" spans="1:6" ht="12.75">
      <c r="A9" s="7" t="s">
        <v>25</v>
      </c>
      <c r="B9" s="8"/>
      <c r="C9" s="22" t="s">
        <v>15</v>
      </c>
      <c r="D9" s="13" t="s">
        <v>27</v>
      </c>
      <c r="E9" s="137" t="s">
        <v>80</v>
      </c>
      <c r="F9" s="54"/>
    </row>
    <row r="10" spans="1:8" ht="12.75">
      <c r="A10" s="2" t="s">
        <v>34</v>
      </c>
      <c r="B10" s="2" t="s">
        <v>35</v>
      </c>
      <c r="C10" s="115">
        <v>17378.5</v>
      </c>
      <c r="D10" s="72">
        <f aca="true" t="shared" si="0" ref="D10:D25">+C10/$C$26</f>
        <v>0.022447216072457293</v>
      </c>
      <c r="E10" s="138">
        <f>+$E$8*D10</f>
        <v>17.273132767755886</v>
      </c>
      <c r="F10" s="54"/>
      <c r="H10" s="145"/>
    </row>
    <row r="11" spans="1:8" ht="12.75">
      <c r="A11" s="2" t="s">
        <v>36</v>
      </c>
      <c r="B11" s="2" t="s">
        <v>37</v>
      </c>
      <c r="C11" s="116">
        <v>70722.5</v>
      </c>
      <c r="D11" s="89">
        <f t="shared" si="0"/>
        <v>0.09134984254592518</v>
      </c>
      <c r="E11" s="31">
        <f aca="true" t="shared" si="1" ref="E11:E25">+$E$8*D11</f>
        <v>70.29370383908943</v>
      </c>
      <c r="H11" s="145"/>
    </row>
    <row r="12" spans="1:8" ht="12.75">
      <c r="A12" s="2" t="s">
        <v>38</v>
      </c>
      <c r="B12" s="2" t="s">
        <v>39</v>
      </c>
      <c r="C12" s="116">
        <v>121253.5</v>
      </c>
      <c r="D12" s="89">
        <f t="shared" si="0"/>
        <v>0.15661901280557586</v>
      </c>
      <c r="E12" s="31">
        <f t="shared" si="1"/>
        <v>120.51833035389062</v>
      </c>
      <c r="H12" s="145"/>
    </row>
    <row r="13" spans="1:8" ht="12.75">
      <c r="A13" s="2" t="s">
        <v>40</v>
      </c>
      <c r="B13" s="2" t="s">
        <v>41</v>
      </c>
      <c r="C13" s="116">
        <v>127458</v>
      </c>
      <c r="D13" s="89">
        <f t="shared" si="0"/>
        <v>0.16463315396399353</v>
      </c>
      <c r="E13" s="31">
        <f t="shared" si="1"/>
        <v>126.68521197529302</v>
      </c>
      <c r="H13" s="145"/>
    </row>
    <row r="14" spans="1:8" ht="12.75">
      <c r="A14" s="2" t="s">
        <v>42</v>
      </c>
      <c r="B14" s="2" t="s">
        <v>43</v>
      </c>
      <c r="C14" s="116">
        <v>61441.5</v>
      </c>
      <c r="D14" s="89">
        <f t="shared" si="0"/>
        <v>0.07936189120556346</v>
      </c>
      <c r="E14" s="31">
        <f t="shared" si="1"/>
        <v>61.06897528268108</v>
      </c>
      <c r="H14" s="145"/>
    </row>
    <row r="15" spans="1:8" ht="12.75">
      <c r="A15" s="2" t="s">
        <v>44</v>
      </c>
      <c r="B15" s="2" t="s">
        <v>45</v>
      </c>
      <c r="C15" s="116">
        <v>5061</v>
      </c>
      <c r="D15" s="89">
        <f t="shared" si="0"/>
        <v>0.006537121186679308</v>
      </c>
      <c r="E15" s="31">
        <f t="shared" si="1"/>
        <v>5.030314753149728</v>
      </c>
      <c r="H15" s="145"/>
    </row>
    <row r="16" spans="1:8" ht="12.75">
      <c r="A16" s="2" t="s">
        <v>46</v>
      </c>
      <c r="B16" s="2" t="s">
        <v>47</v>
      </c>
      <c r="C16" s="116">
        <v>1078</v>
      </c>
      <c r="D16" s="89">
        <f t="shared" si="0"/>
        <v>0.001392415854424085</v>
      </c>
      <c r="E16" s="31">
        <f t="shared" si="1"/>
        <v>1.0714639999793334</v>
      </c>
      <c r="H16" s="145"/>
    </row>
    <row r="17" spans="1:8" ht="12.75">
      <c r="A17" s="2" t="s">
        <v>48</v>
      </c>
      <c r="B17" s="2" t="s">
        <v>49</v>
      </c>
      <c r="C17" s="116">
        <v>71738</v>
      </c>
      <c r="D17" s="89">
        <f t="shared" si="0"/>
        <v>0.09266152928077459</v>
      </c>
      <c r="E17" s="31">
        <f t="shared" si="1"/>
        <v>71.30304678155605</v>
      </c>
      <c r="H17" s="145"/>
    </row>
    <row r="18" spans="1:8" ht="12.75">
      <c r="A18" s="2" t="s">
        <v>50</v>
      </c>
      <c r="B18" s="2" t="s">
        <v>51</v>
      </c>
      <c r="C18" s="54">
        <v>20011</v>
      </c>
      <c r="D18" s="89">
        <f t="shared" si="0"/>
        <v>0.025847526588942824</v>
      </c>
      <c r="E18" s="31">
        <f t="shared" si="1"/>
        <v>19.889671710191504</v>
      </c>
      <c r="H18" s="145"/>
    </row>
    <row r="19" spans="1:8" ht="12.75">
      <c r="A19" s="2" t="s">
        <v>52</v>
      </c>
      <c r="B19" s="2" t="s">
        <v>53</v>
      </c>
      <c r="C19" s="116">
        <v>2865.5</v>
      </c>
      <c r="D19" s="89">
        <f t="shared" si="0"/>
        <v>0.00370126867425994</v>
      </c>
      <c r="E19" s="31">
        <f t="shared" si="1"/>
        <v>2.848126244843024</v>
      </c>
      <c r="H19" s="145"/>
    </row>
    <row r="20" spans="1:8" ht="12.75">
      <c r="A20" s="18" t="s">
        <v>54</v>
      </c>
      <c r="B20" s="2" t="s">
        <v>55</v>
      </c>
      <c r="C20" s="116"/>
      <c r="D20" s="89">
        <f>+C20/$C$26</f>
        <v>0</v>
      </c>
      <c r="E20" s="31">
        <f t="shared" si="1"/>
        <v>0</v>
      </c>
      <c r="H20" s="145"/>
    </row>
    <row r="21" spans="1:8" ht="12.75">
      <c r="A21" s="2" t="s">
        <v>56</v>
      </c>
      <c r="B21" s="6" t="s">
        <v>57</v>
      </c>
      <c r="C21" s="48">
        <v>0</v>
      </c>
      <c r="D21" s="89">
        <f>+C21/$C$26</f>
        <v>0</v>
      </c>
      <c r="E21" s="31">
        <f t="shared" si="1"/>
        <v>0</v>
      </c>
      <c r="H21" s="145"/>
    </row>
    <row r="22" spans="1:8" ht="12.75">
      <c r="A22" s="2" t="s">
        <v>58</v>
      </c>
      <c r="B22" s="2" t="s">
        <v>59</v>
      </c>
      <c r="C22" s="54">
        <v>2059.5</v>
      </c>
      <c r="D22" s="89">
        <f>+C22/$C$26</f>
        <v>0.0026601859482248635</v>
      </c>
      <c r="E22" s="31">
        <f t="shared" si="1"/>
        <v>2.0470130871590326</v>
      </c>
      <c r="H22" s="145"/>
    </row>
    <row r="23" spans="1:8" ht="12.75">
      <c r="A23" s="2" t="s">
        <v>60</v>
      </c>
      <c r="B23" s="2" t="s">
        <v>61</v>
      </c>
      <c r="C23" s="116">
        <v>204707.5</v>
      </c>
      <c r="D23" s="89">
        <f>+C23/$C$26</f>
        <v>0.2644136999253417</v>
      </c>
      <c r="E23" s="31">
        <f t="shared" si="1"/>
        <v>203.46634209255043</v>
      </c>
      <c r="H23" s="145"/>
    </row>
    <row r="24" spans="1:8" ht="12.75">
      <c r="A24" s="18" t="s">
        <v>62</v>
      </c>
      <c r="B24" s="2" t="s">
        <v>63</v>
      </c>
      <c r="C24" s="54"/>
      <c r="D24" s="89">
        <f t="shared" si="0"/>
        <v>0</v>
      </c>
      <c r="E24" s="31">
        <f>+'Grad Income'!B24</f>
        <v>40.5</v>
      </c>
      <c r="H24" s="145"/>
    </row>
    <row r="25" spans="1:8" ht="12.75">
      <c r="A25" s="2" t="s">
        <v>64</v>
      </c>
      <c r="B25" s="2" t="s">
        <v>65</v>
      </c>
      <c r="C25" s="54">
        <v>68419.5</v>
      </c>
      <c r="D25" s="89">
        <f t="shared" si="0"/>
        <v>0.08837513594783736</v>
      </c>
      <c r="E25" s="121">
        <f t="shared" si="1"/>
        <v>68.00466711186084</v>
      </c>
      <c r="F25" s="132"/>
      <c r="H25" s="145"/>
    </row>
    <row r="26" spans="1:6" ht="12.75">
      <c r="A26" s="2" t="s">
        <v>66</v>
      </c>
      <c r="B26" s="2"/>
      <c r="C26" s="109">
        <f>SUM(C10:C25)</f>
        <v>774194</v>
      </c>
      <c r="D26" s="110">
        <f>SUM(D10:D25)</f>
        <v>1</v>
      </c>
      <c r="E26" s="77">
        <f>SUM(E10:E25)</f>
        <v>810</v>
      </c>
      <c r="F26" s="80"/>
    </row>
  </sheetData>
  <sheetProtection/>
  <mergeCells count="3">
    <mergeCell ref="A1:E1"/>
    <mergeCell ref="A2:E2"/>
    <mergeCell ref="C6:E6"/>
  </mergeCells>
  <printOptions/>
  <pageMargins left="0.75" right="0.75" top="1" bottom="1" header="0.5" footer="0.5"/>
  <pageSetup fitToHeight="1" fitToWidth="1" horizontalDpi="600" verticalDpi="6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G8"/>
  <sheetViews>
    <sheetView zoomScalePageLayoutView="0" workbookViewId="0" topLeftCell="A1">
      <selection activeCell="A11" sqref="A11"/>
    </sheetView>
  </sheetViews>
  <sheetFormatPr defaultColWidth="8.8515625" defaultRowHeight="12.75"/>
  <cols>
    <col min="1" max="1" width="11.00390625" style="1" bestFit="1" customWidth="1"/>
    <col min="2" max="2" width="7.8515625" style="1" bestFit="1" customWidth="1"/>
    <col min="3" max="3" width="8.8515625" style="1" customWidth="1"/>
    <col min="4" max="4" width="1.1484375" style="1" customWidth="1"/>
    <col min="5" max="5" width="8.8515625" style="1" customWidth="1"/>
    <col min="6" max="6" width="1.7109375" style="1" customWidth="1"/>
    <col min="7" max="16384" width="8.8515625" style="1" customWidth="1"/>
  </cols>
  <sheetData>
    <row r="2" spans="2:5" ht="12.75">
      <c r="B2" s="113" t="s">
        <v>135</v>
      </c>
      <c r="C2" s="113" t="s">
        <v>135</v>
      </c>
      <c r="E2" s="1" t="s">
        <v>117</v>
      </c>
    </row>
    <row r="3" spans="2:7" ht="15">
      <c r="B3" s="135"/>
      <c r="C3" s="136" t="s">
        <v>139</v>
      </c>
      <c r="E3" s="100" t="s">
        <v>6</v>
      </c>
      <c r="G3" s="130" t="s">
        <v>118</v>
      </c>
    </row>
    <row r="4" spans="1:7" ht="12.75">
      <c r="A4" s="1" t="s">
        <v>162</v>
      </c>
      <c r="B4" s="1">
        <v>6278</v>
      </c>
      <c r="C4" s="1">
        <f>+B4*1.05</f>
        <v>6591.900000000001</v>
      </c>
      <c r="E4" s="1">
        <v>89</v>
      </c>
      <c r="G4" s="1">
        <f>+C4-E4</f>
        <v>6502.900000000001</v>
      </c>
    </row>
    <row r="6" spans="1:7" ht="15">
      <c r="A6" s="1" t="s">
        <v>163</v>
      </c>
      <c r="B6" s="100">
        <v>3681.9</v>
      </c>
      <c r="C6" s="100">
        <f>+B6*1.05</f>
        <v>3865.9950000000003</v>
      </c>
      <c r="G6" s="100">
        <f>+C6-E6</f>
        <v>3865.9950000000003</v>
      </c>
    </row>
    <row r="8" spans="2:7" ht="12.75">
      <c r="B8" s="11">
        <f>+B4+B6</f>
        <v>9959.9</v>
      </c>
      <c r="C8" s="11">
        <f>+C4+C6</f>
        <v>10457.895</v>
      </c>
      <c r="F8" s="11"/>
      <c r="G8" s="11">
        <f>+G4+G6</f>
        <v>10368.895</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27"/>
  <sheetViews>
    <sheetView zoomScalePageLayoutView="0" workbookViewId="0" topLeftCell="A1">
      <selection activeCell="D16" sqref="D16"/>
    </sheetView>
  </sheetViews>
  <sheetFormatPr defaultColWidth="9.140625" defaultRowHeight="12.75"/>
  <cols>
    <col min="1" max="1" width="3.7109375" style="0" customWidth="1"/>
    <col min="2" max="2" width="20.28125" style="0" customWidth="1"/>
    <col min="3" max="4" width="11.421875" style="0" customWidth="1"/>
    <col min="5" max="5" width="1.28515625" style="0" customWidth="1"/>
    <col min="6" max="6" width="11.421875" style="0" customWidth="1"/>
  </cols>
  <sheetData>
    <row r="1" spans="3:7" ht="12.75">
      <c r="C1" s="1"/>
      <c r="D1" s="1"/>
      <c r="G1" s="76"/>
    </row>
    <row r="2" spans="3:7" ht="12.75">
      <c r="C2" s="1"/>
      <c r="D2" s="1"/>
      <c r="G2" s="76"/>
    </row>
    <row r="3" spans="3:7" ht="12.75">
      <c r="C3" s="1"/>
      <c r="D3" s="1"/>
      <c r="G3" s="76"/>
    </row>
    <row r="4" spans="3:7" ht="12.75">
      <c r="C4" s="1"/>
      <c r="D4" s="1"/>
      <c r="G4" s="76"/>
    </row>
    <row r="5" spans="3:7" ht="12.75">
      <c r="C5" s="1"/>
      <c r="D5" s="1"/>
      <c r="G5" s="76"/>
    </row>
    <row r="6" spans="3:7" ht="13.5" thickBot="1">
      <c r="C6" s="3" t="s">
        <v>144</v>
      </c>
      <c r="D6" s="4"/>
      <c r="E6" s="47"/>
      <c r="F6" s="50" t="s">
        <v>11</v>
      </c>
      <c r="G6" s="76"/>
    </row>
    <row r="7" spans="3:7" ht="13.5" thickTop="1">
      <c r="C7" s="15" t="s">
        <v>27</v>
      </c>
      <c r="D7" s="12" t="s">
        <v>6</v>
      </c>
      <c r="E7" s="48"/>
      <c r="F7" s="28" t="s">
        <v>81</v>
      </c>
      <c r="G7" s="76"/>
    </row>
    <row r="8" spans="3:7" ht="12.75">
      <c r="C8" s="15" t="s">
        <v>26</v>
      </c>
      <c r="D8" s="12" t="s">
        <v>82</v>
      </c>
      <c r="E8" s="48"/>
      <c r="F8" s="28" t="s">
        <v>82</v>
      </c>
      <c r="G8" s="76"/>
    </row>
    <row r="9" spans="1:7" ht="12.75">
      <c r="A9" s="7" t="s">
        <v>25</v>
      </c>
      <c r="B9" s="8"/>
      <c r="C9" s="16" t="s">
        <v>83</v>
      </c>
      <c r="D9" s="13" t="s">
        <v>84</v>
      </c>
      <c r="E9" s="49"/>
      <c r="F9" s="30" t="s">
        <v>26</v>
      </c>
      <c r="G9" s="76"/>
    </row>
    <row r="10" spans="1:7" ht="12.75">
      <c r="A10" s="2" t="s">
        <v>34</v>
      </c>
      <c r="B10" s="2" t="s">
        <v>35</v>
      </c>
      <c r="C10" s="51"/>
      <c r="D10" s="52"/>
      <c r="F10" s="32"/>
      <c r="G10" s="55"/>
    </row>
    <row r="11" spans="1:7" ht="12.75">
      <c r="A11" s="2" t="s">
        <v>36</v>
      </c>
      <c r="B11" s="2" t="s">
        <v>37</v>
      </c>
      <c r="C11" s="54"/>
      <c r="D11" s="55"/>
      <c r="F11" s="32"/>
      <c r="G11" s="55"/>
    </row>
    <row r="12" spans="1:7" ht="12.75">
      <c r="A12" s="2" t="s">
        <v>38</v>
      </c>
      <c r="B12" s="2" t="s">
        <v>39</v>
      </c>
      <c r="C12" s="54"/>
      <c r="D12" s="55"/>
      <c r="F12" s="32"/>
      <c r="G12" s="55"/>
    </row>
    <row r="13" spans="1:7" ht="12.75">
      <c r="A13" s="2" t="s">
        <v>40</v>
      </c>
      <c r="B13" s="2" t="s">
        <v>41</v>
      </c>
      <c r="C13" s="54"/>
      <c r="D13" s="55"/>
      <c r="F13" s="32"/>
      <c r="G13" s="55"/>
    </row>
    <row r="14" spans="1:7" ht="12.75">
      <c r="A14" s="2" t="s">
        <v>42</v>
      </c>
      <c r="B14" s="2" t="s">
        <v>43</v>
      </c>
      <c r="C14" s="54"/>
      <c r="D14" s="55"/>
      <c r="F14" s="32"/>
      <c r="G14" s="55"/>
    </row>
    <row r="15" spans="1:7" ht="12.75">
      <c r="A15" s="2" t="s">
        <v>44</v>
      </c>
      <c r="B15" s="2" t="s">
        <v>45</v>
      </c>
      <c r="C15" s="54"/>
      <c r="D15" s="55"/>
      <c r="F15" s="32"/>
      <c r="G15" s="55"/>
    </row>
    <row r="16" spans="1:7" ht="12.75">
      <c r="A16" s="2" t="s">
        <v>46</v>
      </c>
      <c r="B16" s="2" t="s">
        <v>47</v>
      </c>
      <c r="C16" s="54">
        <f>+'Prof Income'!G4</f>
        <v>6502.900000000001</v>
      </c>
      <c r="D16" s="55">
        <f>(+'Prof Income'!E4)-D24</f>
        <v>85</v>
      </c>
      <c r="F16" s="111">
        <f>+C16+D16</f>
        <v>6587.900000000001</v>
      </c>
      <c r="G16" s="76"/>
    </row>
    <row r="17" spans="1:7" ht="12.75">
      <c r="A17" s="2" t="s">
        <v>48</v>
      </c>
      <c r="B17" s="2" t="s">
        <v>49</v>
      </c>
      <c r="C17" s="54"/>
      <c r="D17" s="55"/>
      <c r="F17" s="32"/>
      <c r="G17" s="76"/>
    </row>
    <row r="18" spans="1:7" ht="12.75">
      <c r="A18" s="2" t="s">
        <v>50</v>
      </c>
      <c r="B18" s="2" t="s">
        <v>51</v>
      </c>
      <c r="C18" s="54"/>
      <c r="D18" s="55"/>
      <c r="F18" s="32"/>
      <c r="G18" s="76"/>
    </row>
    <row r="19" spans="1:7" ht="12.75">
      <c r="A19" s="2" t="s">
        <v>52</v>
      </c>
      <c r="B19" s="2" t="s">
        <v>53</v>
      </c>
      <c r="C19" s="54">
        <f>+'Prof Income'!G6</f>
        <v>3865.9950000000003</v>
      </c>
      <c r="D19" s="55"/>
      <c r="F19" s="111">
        <f>+C19+D19</f>
        <v>3865.9950000000003</v>
      </c>
      <c r="G19" s="76"/>
    </row>
    <row r="20" spans="1:7" ht="12.75">
      <c r="A20" s="18" t="s">
        <v>54</v>
      </c>
      <c r="B20" s="2" t="s">
        <v>55</v>
      </c>
      <c r="C20" s="54"/>
      <c r="D20" s="55"/>
      <c r="F20" s="32"/>
      <c r="G20" s="55"/>
    </row>
    <row r="21" spans="1:7" ht="12.75">
      <c r="A21" s="2" t="s">
        <v>56</v>
      </c>
      <c r="B21" s="2" t="s">
        <v>57</v>
      </c>
      <c r="C21" s="54"/>
      <c r="D21" s="55"/>
      <c r="F21" s="32"/>
      <c r="G21" s="55"/>
    </row>
    <row r="22" spans="1:7" ht="12.75">
      <c r="A22" s="2" t="s">
        <v>58</v>
      </c>
      <c r="B22" s="2" t="s">
        <v>59</v>
      </c>
      <c r="C22" s="54"/>
      <c r="D22" s="55"/>
      <c r="F22" s="32"/>
      <c r="G22" s="55"/>
    </row>
    <row r="23" spans="1:7" ht="12.75">
      <c r="A23" s="2" t="s">
        <v>60</v>
      </c>
      <c r="B23" s="2" t="s">
        <v>61</v>
      </c>
      <c r="C23" s="54"/>
      <c r="D23" s="55"/>
      <c r="F23" s="32"/>
      <c r="G23" s="55"/>
    </row>
    <row r="24" spans="1:7" ht="12.75">
      <c r="A24" s="18" t="s">
        <v>62</v>
      </c>
      <c r="B24" s="2" t="s">
        <v>63</v>
      </c>
      <c r="C24" s="54"/>
      <c r="D24" s="55">
        <v>4</v>
      </c>
      <c r="F24" s="111">
        <f>+C24+D24</f>
        <v>4</v>
      </c>
      <c r="G24" s="55"/>
    </row>
    <row r="25" spans="1:7" ht="12.75">
      <c r="A25" s="2" t="s">
        <v>64</v>
      </c>
      <c r="B25" s="2" t="s">
        <v>65</v>
      </c>
      <c r="C25" s="54"/>
      <c r="D25" s="55"/>
      <c r="F25" s="32"/>
      <c r="G25" s="55"/>
    </row>
    <row r="26" spans="1:7" ht="12.75">
      <c r="A26" s="2" t="s">
        <v>66</v>
      </c>
      <c r="B26" s="2"/>
      <c r="C26" s="57">
        <f>SUM(C10:C25)</f>
        <v>10368.895</v>
      </c>
      <c r="D26" s="58">
        <f>SUM(D10:D25)</f>
        <v>89</v>
      </c>
      <c r="E26" s="92"/>
      <c r="F26" s="77">
        <f>SUM(F10:F25)</f>
        <v>10457.895</v>
      </c>
      <c r="G26" s="55"/>
    </row>
    <row r="27" spans="3:7" ht="12.75">
      <c r="C27" s="1"/>
      <c r="D27" s="1"/>
      <c r="G27" s="112"/>
    </row>
  </sheetData>
  <sheetProtection/>
  <printOptions/>
  <pageMargins left="0.75" right="0.75" top="1" bottom="1" header="0.5" footer="0.5"/>
  <pageSetup horizontalDpi="600" verticalDpi="600" orientation="portrait" r:id="rId1"/>
  <headerFooter alignWithMargins="0">
    <oddHeader>&amp;C&amp;A--FY00</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of Tuition Income - FY 02</dc:title>
  <dc:subject/>
  <dc:creator>OBFS Budgeting - University of Illinois</dc:creator>
  <cp:keywords>2002, tuition, income, distribution, budget, reform, budgeting, calculations, planning, urbana-champaign</cp:keywords>
  <dc:description/>
  <cp:lastModifiedBy>OBFS</cp:lastModifiedBy>
  <cp:lastPrinted>2006-01-26T20:03:08Z</cp:lastPrinted>
  <dcterms:created xsi:type="dcterms:W3CDTF">1998-05-29T22:12:12Z</dcterms:created>
  <dcterms:modified xsi:type="dcterms:W3CDTF">2011-01-21T20:16:07Z</dcterms:modified>
  <cp:category/>
  <cp:version/>
  <cp:contentType/>
  <cp:contentStatus/>
</cp:coreProperties>
</file>