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C:\Users\pczarn2\Downloads\"/>
    </mc:Choice>
  </mc:AlternateContent>
  <bookViews>
    <workbookView xWindow="-10785" yWindow="1005" windowWidth="24735" windowHeight="4695"/>
  </bookViews>
  <sheets>
    <sheet name="Table of Contents" sheetId="10" r:id="rId1"/>
    <sheet name="Undergrad Income" sheetId="7" r:id="rId2"/>
    <sheet name="Ugrad IU" sheetId="4" r:id="rId3"/>
    <sheet name="Ugrad Enrollment" sheetId="5" r:id="rId4"/>
    <sheet name="Ugrad Summer" sheetId="8" r:id="rId5"/>
    <sheet name="Ugrad Winter" sheetId="22" r:id="rId6"/>
    <sheet name="Ugrad Differential" sheetId="6" r:id="rId7"/>
    <sheet name="Ugrad Int'l Diff" sheetId="23" r:id="rId8"/>
    <sheet name="Grad Fall_Spring" sheetId="20" r:id="rId9"/>
    <sheet name="Grad Summer" sheetId="21" r:id="rId10"/>
    <sheet name="FY09 Grad" sheetId="19" state="hidden" r:id="rId11"/>
    <sheet name="Prof &amp; SS UPDATE" sheetId="15" r:id="rId12"/>
    <sheet name="Other Income" sheetId="16" r:id="rId13"/>
    <sheet name="Total Tuition " sheetId="17" r:id="rId14"/>
    <sheet name="Tuition Increment" sheetId="18" r:id="rId15"/>
  </sheets>
  <externalReferences>
    <externalReference r:id="rId16"/>
    <externalReference r:id="rId17"/>
  </externalReferences>
  <definedNames>
    <definedName name="_xlnm._FilterDatabase" localSheetId="13" hidden="1">'Total Tuition '!$P$7:$T$28</definedName>
    <definedName name="_xlnm.Print_Area" localSheetId="10">'FY09 Grad'!$A$1:$Q$41</definedName>
    <definedName name="_xlnm.Print_Area" localSheetId="8">'Grad Fall_Spring'!$A$1:$K$29</definedName>
    <definedName name="_xlnm.Print_Area" localSheetId="9">'Grad Summer'!$A$1:$H$32</definedName>
    <definedName name="_xlnm.Print_Area" localSheetId="12">'Other Income'!$A$1:$O$26</definedName>
    <definedName name="_xlnm.Print_Area" localSheetId="11">'Prof &amp; SS UPDATE'!$A$1:$J$44</definedName>
    <definedName name="_xlnm.Print_Area" localSheetId="14">'Tuition Increment'!$A$1:$J$31</definedName>
    <definedName name="_xlnm.Print_Area" localSheetId="6">'Ugrad Differential'!$A$1:$H$34</definedName>
    <definedName name="_xlnm.Print_Area" localSheetId="3">'Ugrad Enrollment'!$A$1:$M$43</definedName>
    <definedName name="_xlnm.Print_Area" localSheetId="2">'Ugrad IU'!$A$1:$M$40</definedName>
    <definedName name="_xlnm.Print_Area" localSheetId="4">'Ugrad Summer'!$A$1:$H$32</definedName>
    <definedName name="_xlnm.Print_Titles" localSheetId="12">'Other Income'!$A:$C,'Other Income'!$4:$6</definedName>
    <definedName name="_xlnm.Print_Titles" localSheetId="11">'Prof &amp; SS UPDATE'!$A:$C,'Prof &amp; SS UPDATE'!$4:$7</definedName>
    <definedName name="_xlnm.Print_Titles" localSheetId="13">'Total Tuition '!$A:$C,'Total Tuition '!$4:$6</definedName>
    <definedName name="_xlnm.Print_Titles" localSheetId="14">'Tuition Increment'!$A:$C,'Tuition Increment'!$4:$6</definedName>
    <definedName name="_xlnm.Print_Titles" localSheetId="4">'Ugrad Summer'!$A:$A,'Ugrad Summer'!$4:$7</definedName>
  </definedNames>
  <calcPr calcId="171027" fullCalcOnLoad="1"/>
</workbook>
</file>

<file path=xl/calcChain.xml><?xml version="1.0" encoding="utf-8"?>
<calcChain xmlns="http://schemas.openxmlformats.org/spreadsheetml/2006/main">
  <c r="V83" i="17" l="1"/>
  <c r="S83" i="17"/>
  <c r="R83" i="17"/>
  <c r="Q83" i="17"/>
  <c r="M83" i="17"/>
  <c r="N83" i="17" s="1"/>
  <c r="L83" i="17"/>
  <c r="D83" i="17"/>
  <c r="E83" i="17"/>
  <c r="F83" i="17"/>
  <c r="G83" i="17"/>
  <c r="J83" i="17" s="1"/>
  <c r="H83" i="17"/>
  <c r="I83" i="17"/>
  <c r="D58" i="17"/>
  <c r="E58" i="17"/>
  <c r="G58" i="17"/>
  <c r="V51" i="17"/>
  <c r="H48" i="17"/>
  <c r="J52" i="17"/>
  <c r="V52" i="17" s="1"/>
  <c r="G18" i="18"/>
  <c r="G13" i="18"/>
  <c r="G12" i="18"/>
  <c r="G11" i="18"/>
  <c r="G10" i="18"/>
  <c r="G9" i="18"/>
  <c r="D28" i="18"/>
  <c r="N27" i="17"/>
  <c r="G28" i="17"/>
  <c r="J27" i="17"/>
  <c r="H19" i="15"/>
  <c r="D19" i="15"/>
  <c r="E11" i="15"/>
  <c r="E39" i="15"/>
  <c r="D44" i="15"/>
  <c r="F14" i="18"/>
  <c r="E15" i="18"/>
  <c r="G16" i="18"/>
  <c r="E17" i="18"/>
  <c r="G17" i="18"/>
  <c r="E19" i="18"/>
  <c r="G19" i="18" s="1"/>
  <c r="E20" i="18"/>
  <c r="G20" i="18"/>
  <c r="G21" i="18"/>
  <c r="G22" i="18"/>
  <c r="G23" i="18"/>
  <c r="E24" i="18"/>
  <c r="G24" i="18"/>
  <c r="G25" i="18"/>
  <c r="A26" i="18"/>
  <c r="E26" i="18"/>
  <c r="G26" i="18"/>
  <c r="R9" i="17"/>
  <c r="R10" i="17"/>
  <c r="J14" i="17"/>
  <c r="N14" i="17"/>
  <c r="P14" i="17"/>
  <c r="P70" i="17"/>
  <c r="R17" i="17"/>
  <c r="D21" i="17"/>
  <c r="D77" i="17" s="1"/>
  <c r="M24" i="17"/>
  <c r="F39" i="17"/>
  <c r="H39" i="17"/>
  <c r="L39" i="17"/>
  <c r="N39" i="17" s="1"/>
  <c r="M39" i="17"/>
  <c r="R39" i="17"/>
  <c r="S39" i="17"/>
  <c r="T39" i="17" s="1"/>
  <c r="F40" i="17"/>
  <c r="H40" i="17"/>
  <c r="L40" i="17"/>
  <c r="N40" i="17" s="1"/>
  <c r="M40" i="17"/>
  <c r="Q40" i="17"/>
  <c r="R40" i="17"/>
  <c r="R66" i="17" s="1"/>
  <c r="S40" i="17"/>
  <c r="H41" i="17"/>
  <c r="L41" i="17"/>
  <c r="M41" i="17"/>
  <c r="N41" i="17"/>
  <c r="S41" i="17"/>
  <c r="T41" i="17" s="1"/>
  <c r="F42" i="17"/>
  <c r="H42" i="17"/>
  <c r="L42" i="17"/>
  <c r="N42" i="17" s="1"/>
  <c r="M42" i="17"/>
  <c r="Q42" i="17"/>
  <c r="T42" i="17" s="1"/>
  <c r="R42" i="17"/>
  <c r="S42" i="17"/>
  <c r="F43" i="17"/>
  <c r="H43" i="17"/>
  <c r="L43" i="17"/>
  <c r="M43" i="17"/>
  <c r="S43" i="17"/>
  <c r="J44" i="17"/>
  <c r="N44" i="17"/>
  <c r="Q44" i="17"/>
  <c r="T44" i="17" s="1"/>
  <c r="X44" i="17" s="1"/>
  <c r="Z14" i="17"/>
  <c r="F45" i="17"/>
  <c r="H45" i="17"/>
  <c r="L45" i="17"/>
  <c r="M45" i="17"/>
  <c r="S45" i="17"/>
  <c r="T45" i="17"/>
  <c r="H46" i="17"/>
  <c r="J46" i="17"/>
  <c r="N46" i="17"/>
  <c r="P46" i="17"/>
  <c r="S46" i="17"/>
  <c r="F47" i="17"/>
  <c r="H47" i="17"/>
  <c r="L47" i="17"/>
  <c r="M47" i="17"/>
  <c r="N47" i="17" s="1"/>
  <c r="Q47" i="17"/>
  <c r="T47" i="17" s="1"/>
  <c r="R47" i="17"/>
  <c r="S47" i="17"/>
  <c r="J48" i="17"/>
  <c r="V48" i="17"/>
  <c r="N48" i="17"/>
  <c r="T48" i="17"/>
  <c r="H49" i="17"/>
  <c r="L49" i="17"/>
  <c r="M49" i="17"/>
  <c r="N49" i="17"/>
  <c r="Q49" i="17"/>
  <c r="S49" i="17"/>
  <c r="H50" i="17"/>
  <c r="L50" i="17"/>
  <c r="M50" i="17"/>
  <c r="P50" i="17"/>
  <c r="J51" i="17"/>
  <c r="X51" i="17" s="1"/>
  <c r="N51" i="17"/>
  <c r="T51" i="17"/>
  <c r="Z21" i="17"/>
  <c r="N52" i="17"/>
  <c r="T52" i="17"/>
  <c r="H53" i="17"/>
  <c r="L53" i="17"/>
  <c r="M53" i="17"/>
  <c r="S53" i="17"/>
  <c r="T53" i="17" s="1"/>
  <c r="V53" i="17"/>
  <c r="H54" i="17"/>
  <c r="J54" i="17"/>
  <c r="L54" i="17"/>
  <c r="M54" i="17"/>
  <c r="S54" i="17"/>
  <c r="T54" i="17"/>
  <c r="J55" i="17"/>
  <c r="N55" i="17"/>
  <c r="S55" i="17"/>
  <c r="T55" i="17"/>
  <c r="H56" i="17"/>
  <c r="L56" i="17"/>
  <c r="M56" i="17"/>
  <c r="N56" i="17"/>
  <c r="S56" i="17"/>
  <c r="T56" i="17" s="1"/>
  <c r="G65" i="17"/>
  <c r="P65" i="17"/>
  <c r="Q65" i="17"/>
  <c r="V65" i="17"/>
  <c r="G66" i="17"/>
  <c r="P66" i="17"/>
  <c r="V66" i="17"/>
  <c r="F67" i="17"/>
  <c r="G67" i="17"/>
  <c r="P67" i="17"/>
  <c r="R67" i="17"/>
  <c r="V67" i="17"/>
  <c r="G68" i="17"/>
  <c r="P68" i="17"/>
  <c r="V68" i="17"/>
  <c r="G69" i="17"/>
  <c r="P69" i="17"/>
  <c r="Q69" i="17"/>
  <c r="R69" i="17"/>
  <c r="V69" i="17"/>
  <c r="D70" i="17"/>
  <c r="E70" i="17"/>
  <c r="F70" i="17"/>
  <c r="G70" i="17"/>
  <c r="H70" i="17"/>
  <c r="I70" i="17"/>
  <c r="L70" i="17"/>
  <c r="M70" i="17"/>
  <c r="N70" i="17"/>
  <c r="R70" i="17"/>
  <c r="S70" i="17"/>
  <c r="V70" i="17"/>
  <c r="G71" i="17"/>
  <c r="P71" i="17"/>
  <c r="Q71" i="17"/>
  <c r="R71" i="17"/>
  <c r="V71" i="17"/>
  <c r="D72" i="17"/>
  <c r="F72" i="17"/>
  <c r="G72" i="17"/>
  <c r="I72" i="17"/>
  <c r="M72" i="17"/>
  <c r="Q72" i="17"/>
  <c r="R72" i="17"/>
  <c r="V72" i="17"/>
  <c r="G73" i="17"/>
  <c r="P73" i="17"/>
  <c r="V73" i="17"/>
  <c r="F74" i="17"/>
  <c r="G74" i="17"/>
  <c r="M74" i="17"/>
  <c r="P74" i="17"/>
  <c r="Q74" i="17"/>
  <c r="R74" i="17"/>
  <c r="F75" i="17"/>
  <c r="G75" i="17"/>
  <c r="P75" i="17"/>
  <c r="R75" i="17"/>
  <c r="V75" i="17"/>
  <c r="D76" i="17"/>
  <c r="F76" i="17"/>
  <c r="G76" i="17"/>
  <c r="Q76" i="17"/>
  <c r="R76" i="17"/>
  <c r="V76" i="17"/>
  <c r="F77" i="17"/>
  <c r="G77" i="17"/>
  <c r="M77" i="17"/>
  <c r="P77" i="17"/>
  <c r="Q77" i="17"/>
  <c r="R77" i="17"/>
  <c r="F78" i="17"/>
  <c r="G78" i="17"/>
  <c r="P78" i="17"/>
  <c r="Q78" i="17"/>
  <c r="R78" i="17"/>
  <c r="D79" i="17"/>
  <c r="F79" i="17"/>
  <c r="G79" i="17"/>
  <c r="P79" i="17"/>
  <c r="Q79" i="17"/>
  <c r="R79" i="17"/>
  <c r="F80" i="17"/>
  <c r="G80" i="17"/>
  <c r="P80" i="17"/>
  <c r="Q80" i="17"/>
  <c r="R80" i="17"/>
  <c r="V80" i="17"/>
  <c r="D81" i="17"/>
  <c r="E81" i="17"/>
  <c r="F81" i="17"/>
  <c r="G81" i="17"/>
  <c r="M81" i="17"/>
  <c r="P81" i="17"/>
  <c r="Q81" i="17"/>
  <c r="R81" i="17"/>
  <c r="V81" i="17"/>
  <c r="A82" i="17"/>
  <c r="D82" i="17"/>
  <c r="F82" i="17"/>
  <c r="G82" i="17"/>
  <c r="P82" i="17"/>
  <c r="Q82" i="17"/>
  <c r="R82" i="17"/>
  <c r="V82" i="17"/>
  <c r="G9" i="16"/>
  <c r="M9" i="16"/>
  <c r="G10" i="16"/>
  <c r="M10" i="16" s="1"/>
  <c r="S10" i="17" s="1"/>
  <c r="O10" i="16"/>
  <c r="G11" i="16"/>
  <c r="G12" i="16"/>
  <c r="M12" i="16"/>
  <c r="G13" i="16"/>
  <c r="M13" i="16" s="1"/>
  <c r="S13" i="17" s="1"/>
  <c r="O13" i="16"/>
  <c r="G14" i="16"/>
  <c r="M14" i="16" s="1"/>
  <c r="O14" i="16" s="1"/>
  <c r="G15" i="16"/>
  <c r="M15" i="16"/>
  <c r="G16" i="16"/>
  <c r="M16" i="16"/>
  <c r="S17" i="17" s="1"/>
  <c r="S73" i="17" s="1"/>
  <c r="O16" i="16"/>
  <c r="G17" i="16"/>
  <c r="M17" i="16" s="1"/>
  <c r="S18" i="17" s="1"/>
  <c r="O17" i="16"/>
  <c r="G18" i="16"/>
  <c r="M18" i="16" s="1"/>
  <c r="G19" i="16"/>
  <c r="M19" i="16"/>
  <c r="G20" i="16"/>
  <c r="M20" i="16"/>
  <c r="S21" i="17" s="1"/>
  <c r="G21" i="16"/>
  <c r="M21" i="16" s="1"/>
  <c r="S22" i="17" s="1"/>
  <c r="O21" i="16"/>
  <c r="G22" i="16"/>
  <c r="M22" i="16" s="1"/>
  <c r="G23" i="16"/>
  <c r="M23" i="16"/>
  <c r="S24" i="17" s="1"/>
  <c r="T24" i="17" s="1"/>
  <c r="O23" i="16"/>
  <c r="G24" i="16"/>
  <c r="M24" i="16" s="1"/>
  <c r="G25" i="16"/>
  <c r="M25" i="16"/>
  <c r="O25" i="16" s="1"/>
  <c r="D26" i="16"/>
  <c r="E26" i="16"/>
  <c r="F26" i="16"/>
  <c r="H26" i="16"/>
  <c r="I26" i="16"/>
  <c r="J26" i="16"/>
  <c r="K26" i="16"/>
  <c r="L26" i="16"/>
  <c r="N26" i="16"/>
  <c r="G13" i="15"/>
  <c r="I13" i="15" s="1"/>
  <c r="G14" i="15"/>
  <c r="P16" i="17" s="1"/>
  <c r="G15" i="15"/>
  <c r="I15" i="15" s="1"/>
  <c r="G17" i="15"/>
  <c r="I17" i="15"/>
  <c r="G18" i="15"/>
  <c r="F22" i="15"/>
  <c r="F23" i="15"/>
  <c r="F24" i="15"/>
  <c r="F25" i="15"/>
  <c r="F26" i="15"/>
  <c r="F27" i="15"/>
  <c r="D28" i="15"/>
  <c r="E28" i="15"/>
  <c r="F29" i="15"/>
  <c r="F30" i="15"/>
  <c r="F31" i="15"/>
  <c r="F32" i="15"/>
  <c r="F33" i="15"/>
  <c r="D34" i="15"/>
  <c r="D35" i="15"/>
  <c r="E35" i="15"/>
  <c r="F42" i="15"/>
  <c r="F43" i="15"/>
  <c r="E16" i="15"/>
  <c r="E44" i="15"/>
  <c r="F16" i="15"/>
  <c r="G16" i="15" s="1"/>
  <c r="D48" i="15"/>
  <c r="E48" i="15"/>
  <c r="F49" i="15"/>
  <c r="E10" i="19"/>
  <c r="G10" i="19"/>
  <c r="H10" i="19" s="1"/>
  <c r="I10" i="19" s="1"/>
  <c r="J10" i="19"/>
  <c r="L10" i="19"/>
  <c r="O10" i="19" s="1"/>
  <c r="M10" i="19"/>
  <c r="N10" i="19"/>
  <c r="C11" i="19"/>
  <c r="D11" i="19"/>
  <c r="E11" i="19" s="1"/>
  <c r="F11" i="19"/>
  <c r="E12" i="19"/>
  <c r="G12" i="19" s="1"/>
  <c r="H12" i="19" s="1"/>
  <c r="I12" i="19" s="1"/>
  <c r="M12" i="19" s="1"/>
  <c r="J12" i="19"/>
  <c r="L12" i="19" s="1"/>
  <c r="O12" i="19"/>
  <c r="Q12" i="19" s="1"/>
  <c r="S12" i="19"/>
  <c r="E13" i="19"/>
  <c r="G13" i="19"/>
  <c r="H13" i="19" s="1"/>
  <c r="I13" i="19" s="1"/>
  <c r="M13" i="19" s="1"/>
  <c r="J13" i="19"/>
  <c r="L13" i="19"/>
  <c r="O13" i="19" s="1"/>
  <c r="Q13" i="19" s="1"/>
  <c r="R13" i="19" s="1"/>
  <c r="S13" i="19" s="1"/>
  <c r="E14" i="19"/>
  <c r="G14" i="19"/>
  <c r="H14" i="19"/>
  <c r="I14" i="19" s="1"/>
  <c r="M14" i="19" s="1"/>
  <c r="O14" i="19" s="1"/>
  <c r="Q14" i="19" s="1"/>
  <c r="R14" i="19" s="1"/>
  <c r="S14" i="19" s="1"/>
  <c r="J14" i="19"/>
  <c r="L14" i="19"/>
  <c r="E15" i="19"/>
  <c r="S15" i="19"/>
  <c r="E16" i="19"/>
  <c r="G16" i="19"/>
  <c r="H16" i="19"/>
  <c r="I16" i="19" s="1"/>
  <c r="J16" i="19"/>
  <c r="K16" i="19"/>
  <c r="L16" i="19"/>
  <c r="O16" i="19" s="1"/>
  <c r="Q16" i="19" s="1"/>
  <c r="R16" i="19"/>
  <c r="S16" i="19" s="1"/>
  <c r="E17" i="19"/>
  <c r="G17" i="19"/>
  <c r="H17" i="19"/>
  <c r="I17" i="19" s="1"/>
  <c r="J17" i="19"/>
  <c r="L17" i="19"/>
  <c r="M17" i="19"/>
  <c r="O17" i="19" s="1"/>
  <c r="Q17" i="19" s="1"/>
  <c r="S17" i="19"/>
  <c r="E18" i="19"/>
  <c r="J18" i="19" s="1"/>
  <c r="L18" i="19" s="1"/>
  <c r="H18" i="19"/>
  <c r="I18" i="19" s="1"/>
  <c r="M18" i="19" s="1"/>
  <c r="E19" i="19"/>
  <c r="G19" i="19"/>
  <c r="H19" i="19"/>
  <c r="I19" i="19" s="1"/>
  <c r="M19" i="19" s="1"/>
  <c r="O19" i="19" s="1"/>
  <c r="Q19" i="19" s="1"/>
  <c r="R19" i="19" s="1"/>
  <c r="S19" i="19" s="1"/>
  <c r="J19" i="19"/>
  <c r="L19" i="19"/>
  <c r="E20" i="19"/>
  <c r="E21" i="19"/>
  <c r="J21" i="19" s="1"/>
  <c r="H21" i="19"/>
  <c r="I21" i="19" s="1"/>
  <c r="M21" i="19" s="1"/>
  <c r="L21" i="19"/>
  <c r="E22" i="19"/>
  <c r="G22" i="19" s="1"/>
  <c r="H22" i="19" s="1"/>
  <c r="I22" i="19" s="1"/>
  <c r="M22" i="19" s="1"/>
  <c r="J22" i="19"/>
  <c r="L22" i="19" s="1"/>
  <c r="S22" i="19"/>
  <c r="E23" i="19"/>
  <c r="J23" i="19" s="1"/>
  <c r="L23" i="19" s="1"/>
  <c r="G23" i="19"/>
  <c r="H23" i="19" s="1"/>
  <c r="I23" i="19" s="1"/>
  <c r="M23" i="19" s="1"/>
  <c r="M31" i="19" s="1"/>
  <c r="E24" i="19"/>
  <c r="G24" i="19"/>
  <c r="H24" i="19"/>
  <c r="I24" i="19" s="1"/>
  <c r="M24" i="19" s="1"/>
  <c r="M30" i="19" s="1"/>
  <c r="J24" i="19"/>
  <c r="L24" i="19"/>
  <c r="E25" i="19"/>
  <c r="H25" i="19"/>
  <c r="I25" i="19"/>
  <c r="M25" i="19" s="1"/>
  <c r="J25" i="19"/>
  <c r="L25" i="19" s="1"/>
  <c r="E26" i="19"/>
  <c r="J26" i="19" s="1"/>
  <c r="L26" i="19" s="1"/>
  <c r="G26" i="19"/>
  <c r="H26" i="19" s="1"/>
  <c r="I26" i="19" s="1"/>
  <c r="M26" i="19" s="1"/>
  <c r="M29" i="19" s="1"/>
  <c r="C27" i="19"/>
  <c r="D27" i="19"/>
  <c r="E27" i="19"/>
  <c r="F27" i="19"/>
  <c r="K27" i="19"/>
  <c r="N27" i="19"/>
  <c r="P27" i="19"/>
  <c r="R31" i="19"/>
  <c r="C35" i="19"/>
  <c r="F39" i="19"/>
  <c r="F40" i="19"/>
  <c r="F41" i="19"/>
  <c r="E10" i="21"/>
  <c r="E11" i="21"/>
  <c r="F11" i="21" s="1"/>
  <c r="E12" i="21"/>
  <c r="F12" i="21"/>
  <c r="M11" i="17" s="1"/>
  <c r="E13" i="21"/>
  <c r="F13" i="21" s="1"/>
  <c r="M12" i="17" s="1"/>
  <c r="M68" i="17" s="1"/>
  <c r="H13" i="21"/>
  <c r="E14" i="21"/>
  <c r="F14" i="21" s="1"/>
  <c r="E15" i="21"/>
  <c r="F15" i="21" s="1"/>
  <c r="E16" i="21"/>
  <c r="F16" i="21"/>
  <c r="H16" i="21" s="1"/>
  <c r="E17" i="21"/>
  <c r="F17" i="21" s="1"/>
  <c r="M17" i="17" s="1"/>
  <c r="M73" i="17" s="1"/>
  <c r="H17" i="21"/>
  <c r="E18" i="21"/>
  <c r="F18" i="21" s="1"/>
  <c r="H18" i="21" s="1"/>
  <c r="E19" i="21"/>
  <c r="F19" i="21" s="1"/>
  <c r="E20" i="21"/>
  <c r="F20" i="21"/>
  <c r="M20" i="17" s="1"/>
  <c r="M76" i="17" s="1"/>
  <c r="N76" i="17" s="1"/>
  <c r="H20" i="21"/>
  <c r="E21" i="21"/>
  <c r="F21" i="21" s="1"/>
  <c r="H21" i="21" s="1"/>
  <c r="E22" i="21"/>
  <c r="F22" i="21" s="1"/>
  <c r="E23" i="21"/>
  <c r="F23" i="21" s="1"/>
  <c r="H23" i="21" s="1"/>
  <c r="E24" i="21"/>
  <c r="F24" i="21"/>
  <c r="H24" i="21" s="1"/>
  <c r="E25" i="21"/>
  <c r="F25" i="21" s="1"/>
  <c r="H25" i="21" s="1"/>
  <c r="E26" i="21"/>
  <c r="F26" i="21" s="1"/>
  <c r="C27" i="21"/>
  <c r="D27" i="21"/>
  <c r="G27" i="21"/>
  <c r="F10" i="20"/>
  <c r="G10" i="20" s="1"/>
  <c r="I10" i="20" s="1"/>
  <c r="F11" i="20"/>
  <c r="G11" i="20" s="1"/>
  <c r="F12" i="20"/>
  <c r="G12" i="20"/>
  <c r="I12" i="20" s="1"/>
  <c r="F13" i="20"/>
  <c r="G13" i="20"/>
  <c r="F14" i="20"/>
  <c r="G14" i="20" s="1"/>
  <c r="F15" i="20"/>
  <c r="G15" i="20" s="1"/>
  <c r="F16" i="20"/>
  <c r="G16" i="20" s="1"/>
  <c r="I16" i="20" s="1"/>
  <c r="F17" i="20"/>
  <c r="G17" i="20"/>
  <c r="I17" i="20" s="1"/>
  <c r="F18" i="20"/>
  <c r="G18" i="20" s="1"/>
  <c r="I18" i="20" s="1"/>
  <c r="F19" i="20"/>
  <c r="G19" i="20"/>
  <c r="I19" i="20" s="1"/>
  <c r="L19" i="17"/>
  <c r="L75" i="17" s="1"/>
  <c r="F20" i="20"/>
  <c r="G20" i="20" s="1"/>
  <c r="F21" i="20"/>
  <c r="G21" i="20"/>
  <c r="F22" i="20"/>
  <c r="G22" i="20" s="1"/>
  <c r="I22" i="20" s="1"/>
  <c r="L22" i="17"/>
  <c r="L78" i="17" s="1"/>
  <c r="F23" i="20"/>
  <c r="G23" i="20"/>
  <c r="F25" i="20"/>
  <c r="G25" i="20" s="1"/>
  <c r="F26" i="20"/>
  <c r="D27" i="20"/>
  <c r="E27" i="20"/>
  <c r="H27" i="20"/>
  <c r="D7" i="23"/>
  <c r="D8" i="23"/>
  <c r="B11" i="23"/>
  <c r="B13" i="23" s="1"/>
  <c r="C11" i="23"/>
  <c r="D11" i="23" s="1"/>
  <c r="D12" i="23"/>
  <c r="C9" i="6"/>
  <c r="D9" i="6"/>
  <c r="C10" i="6"/>
  <c r="D10" i="6"/>
  <c r="C11" i="6"/>
  <c r="D11" i="6"/>
  <c r="C12" i="6"/>
  <c r="C13" i="6"/>
  <c r="D13" i="6" s="1"/>
  <c r="C14" i="6"/>
  <c r="D14" i="6" s="1"/>
  <c r="B15" i="6"/>
  <c r="C38" i="6"/>
  <c r="D38" i="6"/>
  <c r="C39" i="6"/>
  <c r="D39" i="6"/>
  <c r="C40" i="6"/>
  <c r="D40" i="6"/>
  <c r="C41" i="6"/>
  <c r="D41" i="6" s="1"/>
  <c r="C42" i="6"/>
  <c r="D42" i="6" s="1"/>
  <c r="C43" i="6"/>
  <c r="D43" i="6"/>
  <c r="B44" i="6"/>
  <c r="B65" i="6"/>
  <c r="B66" i="6" s="1"/>
  <c r="C13" i="22"/>
  <c r="C14" i="22"/>
  <c r="C21" i="22"/>
  <c r="C22" i="22"/>
  <c r="B25" i="22"/>
  <c r="C10" i="22" s="1"/>
  <c r="E25" i="22"/>
  <c r="D32" i="22"/>
  <c r="D34" i="22" s="1"/>
  <c r="C34" i="22"/>
  <c r="C35" i="22" s="1"/>
  <c r="B26" i="8"/>
  <c r="C9" i="8" s="1"/>
  <c r="E26" i="8"/>
  <c r="G26" i="8"/>
  <c r="C30" i="8"/>
  <c r="C34" i="8"/>
  <c r="C35" i="8" s="1"/>
  <c r="C38" i="8"/>
  <c r="C39" i="8"/>
  <c r="C40" i="8" s="1"/>
  <c r="D13" i="5"/>
  <c r="G13" i="5"/>
  <c r="H13" i="5"/>
  <c r="I13" i="5"/>
  <c r="J13" i="5" s="1"/>
  <c r="D14" i="5"/>
  <c r="G14" i="5"/>
  <c r="H14" i="5"/>
  <c r="I14" i="5"/>
  <c r="J14" i="5"/>
  <c r="L14" i="5"/>
  <c r="M14" i="5" s="1"/>
  <c r="D10" i="17" s="1"/>
  <c r="D15" i="5"/>
  <c r="G15" i="5"/>
  <c r="H15" i="5"/>
  <c r="J15" i="5" s="1"/>
  <c r="I15" i="5"/>
  <c r="L15" i="5"/>
  <c r="M15" i="5" s="1"/>
  <c r="D11" i="17" s="1"/>
  <c r="D16" i="5"/>
  <c r="G16" i="5"/>
  <c r="H16" i="5"/>
  <c r="I16" i="5"/>
  <c r="D17" i="5"/>
  <c r="G17" i="5"/>
  <c r="H17" i="5"/>
  <c r="I17" i="5"/>
  <c r="J17" i="5"/>
  <c r="L17" i="5" s="1"/>
  <c r="M17" i="5" s="1"/>
  <c r="D13" i="17" s="1"/>
  <c r="D69" i="17" s="1"/>
  <c r="D18" i="5"/>
  <c r="G18" i="5"/>
  <c r="H18" i="5"/>
  <c r="I18" i="5"/>
  <c r="J18" i="5"/>
  <c r="L18" i="5" s="1"/>
  <c r="M18" i="5" s="1"/>
  <c r="D15" i="17" s="1"/>
  <c r="D19" i="5"/>
  <c r="G19" i="5"/>
  <c r="H19" i="5"/>
  <c r="J19" i="5" s="1"/>
  <c r="L19" i="5" s="1"/>
  <c r="M19" i="5" s="1"/>
  <c r="D17" i="17" s="1"/>
  <c r="I19" i="5"/>
  <c r="D20" i="5"/>
  <c r="G20" i="5"/>
  <c r="H20" i="5"/>
  <c r="I20" i="5"/>
  <c r="D21" i="5"/>
  <c r="G21" i="5"/>
  <c r="H21" i="5"/>
  <c r="I21" i="5"/>
  <c r="J21" i="5" s="1"/>
  <c r="L21" i="5" s="1"/>
  <c r="M21" i="5" s="1"/>
  <c r="D19" i="17" s="1"/>
  <c r="D22" i="5"/>
  <c r="G22" i="5"/>
  <c r="H22" i="5"/>
  <c r="I22" i="5"/>
  <c r="J22" i="5"/>
  <c r="L22" i="5"/>
  <c r="M22" i="5" s="1"/>
  <c r="D22" i="17" s="1"/>
  <c r="D23" i="5"/>
  <c r="G23" i="5"/>
  <c r="H23" i="5"/>
  <c r="J23" i="5" s="1"/>
  <c r="C39" i="5" s="1"/>
  <c r="I23" i="5"/>
  <c r="L23" i="5"/>
  <c r="M23" i="5" s="1"/>
  <c r="D24" i="17" s="1"/>
  <c r="B24" i="5"/>
  <c r="C24" i="5"/>
  <c r="D24" i="5"/>
  <c r="E24" i="5"/>
  <c r="F24" i="5"/>
  <c r="I24" i="5"/>
  <c r="K24" i="5"/>
  <c r="I11" i="4"/>
  <c r="J11" i="4"/>
  <c r="L11" i="4"/>
  <c r="I12" i="4"/>
  <c r="J12" i="4"/>
  <c r="L12" i="4"/>
  <c r="M12" i="4" s="1"/>
  <c r="E10" i="17" s="1"/>
  <c r="E66" i="17" s="1"/>
  <c r="I13" i="4"/>
  <c r="J13" i="4"/>
  <c r="L13" i="4" s="1"/>
  <c r="M13" i="4" s="1"/>
  <c r="E11" i="17" s="1"/>
  <c r="E67" i="17" s="1"/>
  <c r="I14" i="4"/>
  <c r="J14" i="4"/>
  <c r="L14" i="4" s="1"/>
  <c r="M14" i="4" s="1"/>
  <c r="E12" i="17" s="1"/>
  <c r="E68" i="17" s="1"/>
  <c r="I15" i="4"/>
  <c r="J15" i="4"/>
  <c r="L15" i="4"/>
  <c r="M15" i="4" s="1"/>
  <c r="E13" i="17" s="1"/>
  <c r="I16" i="4"/>
  <c r="J16" i="4"/>
  <c r="L16" i="4"/>
  <c r="M16" i="4" s="1"/>
  <c r="E15" i="17" s="1"/>
  <c r="E71" i="17" s="1"/>
  <c r="I17" i="4"/>
  <c r="J17" i="4"/>
  <c r="L17" i="4" s="1"/>
  <c r="M17" i="4" s="1"/>
  <c r="E16" i="17" s="1"/>
  <c r="I18" i="4"/>
  <c r="J18" i="4"/>
  <c r="L18" i="4" s="1"/>
  <c r="M18" i="4" s="1"/>
  <c r="E17" i="17" s="1"/>
  <c r="E73" i="17" s="1"/>
  <c r="I19" i="4"/>
  <c r="J19" i="4"/>
  <c r="L19" i="4"/>
  <c r="M19" i="4" s="1"/>
  <c r="E18" i="17" s="1"/>
  <c r="E74" i="17" s="1"/>
  <c r="I20" i="4"/>
  <c r="J20" i="4"/>
  <c r="L20" i="4"/>
  <c r="M20" i="4" s="1"/>
  <c r="E19" i="17" s="1"/>
  <c r="E75" i="17" s="1"/>
  <c r="I21" i="4"/>
  <c r="J21" i="4"/>
  <c r="L21" i="4" s="1"/>
  <c r="M21" i="4" s="1"/>
  <c r="E20" i="17" s="1"/>
  <c r="E76" i="17" s="1"/>
  <c r="I22" i="4"/>
  <c r="J22" i="4"/>
  <c r="L22" i="4" s="1"/>
  <c r="M22" i="4" s="1"/>
  <c r="E21" i="17" s="1"/>
  <c r="E77" i="17" s="1"/>
  <c r="I23" i="4"/>
  <c r="J23" i="4"/>
  <c r="L23" i="4"/>
  <c r="M23" i="4" s="1"/>
  <c r="E22" i="17" s="1"/>
  <c r="E78" i="17" s="1"/>
  <c r="I24" i="4"/>
  <c r="J24" i="4"/>
  <c r="L24" i="4"/>
  <c r="M24" i="4" s="1"/>
  <c r="E23" i="17" s="1"/>
  <c r="V23" i="17" s="1"/>
  <c r="V79" i="17" s="1"/>
  <c r="I25" i="4"/>
  <c r="J25" i="4"/>
  <c r="L25" i="4" s="1"/>
  <c r="M25" i="4" s="1"/>
  <c r="E24" i="17" s="1"/>
  <c r="E80" i="17" s="1"/>
  <c r="I26" i="4"/>
  <c r="J26" i="4"/>
  <c r="L26" i="4" s="1"/>
  <c r="M26" i="4" s="1"/>
  <c r="E26" i="17" s="1"/>
  <c r="G27" i="4"/>
  <c r="H27" i="4"/>
  <c r="I27" i="4"/>
  <c r="K27" i="4"/>
  <c r="C16" i="7"/>
  <c r="C17" i="7" s="1"/>
  <c r="B7" i="8" s="1"/>
  <c r="C20" i="7"/>
  <c r="C21" i="7" s="1"/>
  <c r="I40" i="17"/>
  <c r="J40" i="17" s="1"/>
  <c r="I45" i="17"/>
  <c r="I42" i="17"/>
  <c r="I39" i="17"/>
  <c r="I43" i="17"/>
  <c r="J43" i="17" s="1"/>
  <c r="I49" i="17"/>
  <c r="I47" i="17"/>
  <c r="O24" i="16"/>
  <c r="S25" i="17"/>
  <c r="I18" i="15"/>
  <c r="P27" i="17"/>
  <c r="Q14" i="17"/>
  <c r="Q70" i="17" s="1"/>
  <c r="T70" i="17" s="1"/>
  <c r="F48" i="15"/>
  <c r="F44" i="15"/>
  <c r="P20" i="17"/>
  <c r="Q19" i="17"/>
  <c r="F35" i="15"/>
  <c r="I14" i="15"/>
  <c r="C36" i="22"/>
  <c r="C38" i="22" s="1"/>
  <c r="S12" i="17"/>
  <c r="S68" i="17"/>
  <c r="O12" i="16"/>
  <c r="C27" i="20"/>
  <c r="F24" i="20"/>
  <c r="G24" i="20" s="1"/>
  <c r="L24" i="17" s="1"/>
  <c r="L80" i="17" s="1"/>
  <c r="J42" i="17"/>
  <c r="N53" i="17"/>
  <c r="T50" i="17"/>
  <c r="X50" i="17" s="1"/>
  <c r="Z20" i="17" s="1"/>
  <c r="T49" i="17"/>
  <c r="S23" i="17"/>
  <c r="T23" i="17"/>
  <c r="O22" i="16"/>
  <c r="L23" i="17"/>
  <c r="L79" i="17"/>
  <c r="I23" i="20"/>
  <c r="I16" i="15"/>
  <c r="Q17" i="17"/>
  <c r="J56" i="17"/>
  <c r="X56" i="17" s="1"/>
  <c r="Z26" i="17" s="1"/>
  <c r="N43" i="17"/>
  <c r="G15" i="18"/>
  <c r="E28" i="18"/>
  <c r="E31" i="18" s="1"/>
  <c r="J50" i="17"/>
  <c r="R65" i="17"/>
  <c r="R84" i="17" s="1"/>
  <c r="G14" i="18"/>
  <c r="G28" i="18" s="1"/>
  <c r="F28" i="18"/>
  <c r="E30" i="18" s="1"/>
  <c r="R12" i="17"/>
  <c r="D13" i="23"/>
  <c r="I20" i="20"/>
  <c r="L20" i="17"/>
  <c r="L76" i="17" s="1"/>
  <c r="L16" i="17"/>
  <c r="L72" i="17" s="1"/>
  <c r="N16" i="17"/>
  <c r="I13" i="20"/>
  <c r="L12" i="17"/>
  <c r="L17" i="17"/>
  <c r="L9" i="17"/>
  <c r="G26" i="20"/>
  <c r="I26" i="20" s="1"/>
  <c r="F27" i="20"/>
  <c r="R73" i="17"/>
  <c r="L26" i="17"/>
  <c r="L82" i="17" s="1"/>
  <c r="T40" i="17"/>
  <c r="Q58" i="17"/>
  <c r="S79" i="17"/>
  <c r="T79" i="17" s="1"/>
  <c r="R58" i="17"/>
  <c r="P76" i="17"/>
  <c r="J39" i="17"/>
  <c r="J47" i="17"/>
  <c r="P58" i="17"/>
  <c r="M58" i="17"/>
  <c r="J41" i="17"/>
  <c r="X41" i="17" s="1"/>
  <c r="Z11" i="17"/>
  <c r="H58" i="17"/>
  <c r="L68" i="17"/>
  <c r="N68" i="17"/>
  <c r="T14" i="17"/>
  <c r="N50" i="17"/>
  <c r="N45" i="17"/>
  <c r="X55" i="17"/>
  <c r="Z25" i="17" s="1"/>
  <c r="N54" i="17"/>
  <c r="X54" i="17" s="1"/>
  <c r="Z24" i="17" s="1"/>
  <c r="D71" i="17"/>
  <c r="Q75" i="17"/>
  <c r="X47" i="17"/>
  <c r="Z17" i="17" s="1"/>
  <c r="T43" i="17"/>
  <c r="X43" i="17"/>
  <c r="Z13" i="17" s="1"/>
  <c r="T46" i="17"/>
  <c r="X46" i="17"/>
  <c r="Z16" i="17" s="1"/>
  <c r="S66" i="17"/>
  <c r="R68" i="17"/>
  <c r="J49" i="17"/>
  <c r="X49" i="17" s="1"/>
  <c r="Z19" i="17" s="1"/>
  <c r="J53" i="17"/>
  <c r="X53" i="17"/>
  <c r="Z23" i="17"/>
  <c r="M67" i="17"/>
  <c r="S80" i="17"/>
  <c r="T80" i="17" s="1"/>
  <c r="T58" i="17"/>
  <c r="N58" i="17"/>
  <c r="X39" i="17"/>
  <c r="Z9" i="17" l="1"/>
  <c r="E72" i="17"/>
  <c r="D67" i="17"/>
  <c r="D75" i="17"/>
  <c r="D66" i="17"/>
  <c r="L65" i="17"/>
  <c r="E82" i="17"/>
  <c r="D80" i="17"/>
  <c r="X27" i="17"/>
  <c r="T17" i="17"/>
  <c r="Q73" i="17"/>
  <c r="T73" i="17" s="1"/>
  <c r="T77" i="17"/>
  <c r="E69" i="17"/>
  <c r="J16" i="5"/>
  <c r="L16" i="5" s="1"/>
  <c r="M16" i="5" s="1"/>
  <c r="D12" i="17" s="1"/>
  <c r="H24" i="5"/>
  <c r="D35" i="22"/>
  <c r="D36" i="22" s="1"/>
  <c r="D38" i="22" s="1"/>
  <c r="B6" i="22" s="1"/>
  <c r="V22" i="17"/>
  <c r="V78" i="17" s="1"/>
  <c r="T25" i="17"/>
  <c r="S81" i="17"/>
  <c r="T81" i="17" s="1"/>
  <c r="C23" i="7"/>
  <c r="M11" i="4"/>
  <c r="L27" i="4"/>
  <c r="C4" i="7" s="1"/>
  <c r="C5" i="7" s="1"/>
  <c r="D73" i="17"/>
  <c r="L13" i="5"/>
  <c r="J24" i="5"/>
  <c r="C41" i="5" s="1"/>
  <c r="D41" i="5" s="1"/>
  <c r="D42" i="5" s="1"/>
  <c r="C54" i="6"/>
  <c r="B68" i="6"/>
  <c r="B19" i="6" s="1"/>
  <c r="B34" i="6" s="1"/>
  <c r="L15" i="17"/>
  <c r="L71" i="17" s="1"/>
  <c r="I15" i="20"/>
  <c r="M26" i="17"/>
  <c r="H26" i="21"/>
  <c r="O22" i="19"/>
  <c r="Q22" i="19" s="1"/>
  <c r="T21" i="17"/>
  <c r="S77" i="17"/>
  <c r="N24" i="17"/>
  <c r="M80" i="17"/>
  <c r="N80" i="17" s="1"/>
  <c r="L11" i="17"/>
  <c r="L67" i="17" s="1"/>
  <c r="N67" i="17" s="1"/>
  <c r="G27" i="20"/>
  <c r="J27" i="4"/>
  <c r="E39" i="4" s="1"/>
  <c r="F39" i="4" s="1"/>
  <c r="F40" i="4" s="1"/>
  <c r="G24" i="5"/>
  <c r="I21" i="20"/>
  <c r="L21" i="17"/>
  <c r="G15" i="19"/>
  <c r="H15" i="19" s="1"/>
  <c r="I15" i="19" s="1"/>
  <c r="M15" i="19" s="1"/>
  <c r="J15" i="19"/>
  <c r="L15" i="19" s="1"/>
  <c r="D36" i="15"/>
  <c r="E10" i="15" s="1"/>
  <c r="D47" i="15"/>
  <c r="D50" i="15" s="1"/>
  <c r="E12" i="15" s="1"/>
  <c r="F28" i="15"/>
  <c r="M11" i="16"/>
  <c r="G26" i="16"/>
  <c r="N72" i="17"/>
  <c r="G84" i="17"/>
  <c r="M23" i="17"/>
  <c r="L58" i="17"/>
  <c r="N20" i="17"/>
  <c r="I58" i="17"/>
  <c r="I24" i="20"/>
  <c r="P83" i="17"/>
  <c r="T83" i="17" s="1"/>
  <c r="X83" i="17" s="1"/>
  <c r="T27" i="17"/>
  <c r="J20" i="5"/>
  <c r="L20" i="5" s="1"/>
  <c r="M20" i="5" s="1"/>
  <c r="D18" i="17" s="1"/>
  <c r="D9" i="8"/>
  <c r="C18" i="22"/>
  <c r="C44" i="6"/>
  <c r="C13" i="23"/>
  <c r="M22" i="17"/>
  <c r="H22" i="21"/>
  <c r="M15" i="17"/>
  <c r="H15" i="21"/>
  <c r="H12" i="21"/>
  <c r="F10" i="21"/>
  <c r="E27" i="21"/>
  <c r="O26" i="19"/>
  <c r="Q26" i="19" s="1"/>
  <c r="J45" i="17"/>
  <c r="F58" i="17"/>
  <c r="X14" i="17"/>
  <c r="F39" i="15"/>
  <c r="F11" i="15"/>
  <c r="G11" i="15" s="1"/>
  <c r="P72" i="17"/>
  <c r="P28" i="17"/>
  <c r="P29" i="17" s="1"/>
  <c r="S9" i="17"/>
  <c r="O9" i="16"/>
  <c r="M26" i="16"/>
  <c r="L73" i="17"/>
  <c r="N17" i="17"/>
  <c r="D78" i="17"/>
  <c r="D44" i="6"/>
  <c r="I14" i="20"/>
  <c r="L13" i="17"/>
  <c r="L69" i="17" s="1"/>
  <c r="H11" i="21"/>
  <c r="M10" i="17"/>
  <c r="O23" i="19"/>
  <c r="Q23" i="19" s="1"/>
  <c r="R23" i="19" s="1"/>
  <c r="S23" i="19" s="1"/>
  <c r="E34" i="15"/>
  <c r="F34" i="15" s="1"/>
  <c r="S58" i="17"/>
  <c r="E79" i="17"/>
  <c r="X40" i="17"/>
  <c r="Z10" i="17" s="1"/>
  <c r="N12" i="17"/>
  <c r="E32" i="18"/>
  <c r="E33" i="18" s="1"/>
  <c r="C36" i="8"/>
  <c r="C42" i="8" s="1"/>
  <c r="C11" i="22"/>
  <c r="C15" i="22"/>
  <c r="C19" i="22"/>
  <c r="C23" i="22"/>
  <c r="C8" i="22"/>
  <c r="C12" i="22"/>
  <c r="C16" i="22"/>
  <c r="C20" i="22"/>
  <c r="C24" i="22"/>
  <c r="C28" i="22"/>
  <c r="C17" i="22"/>
  <c r="C9" i="22"/>
  <c r="E41" i="6"/>
  <c r="D12" i="6"/>
  <c r="D15" i="6" s="1"/>
  <c r="C15" i="6"/>
  <c r="I25" i="20"/>
  <c r="L25" i="17"/>
  <c r="L18" i="17"/>
  <c r="H19" i="21"/>
  <c r="M19" i="17"/>
  <c r="M13" i="17"/>
  <c r="H14" i="21"/>
  <c r="N11" i="17"/>
  <c r="G27" i="19"/>
  <c r="O25" i="19"/>
  <c r="Q25" i="19" s="1"/>
  <c r="R25" i="19" s="1"/>
  <c r="S25" i="19" s="1"/>
  <c r="O21" i="19"/>
  <c r="Q21" i="19" s="1"/>
  <c r="R21" i="19" s="1"/>
  <c r="S21" i="19" s="1"/>
  <c r="J11" i="19"/>
  <c r="G11" i="19"/>
  <c r="H11" i="19" s="1"/>
  <c r="Q10" i="19"/>
  <c r="V58" i="17"/>
  <c r="X48" i="17"/>
  <c r="Z18" i="17" s="1"/>
  <c r="R28" i="17"/>
  <c r="T9" i="17"/>
  <c r="L10" i="17"/>
  <c r="L66" i="17" s="1"/>
  <c r="I11" i="20"/>
  <c r="G20" i="19"/>
  <c r="H20" i="19" s="1"/>
  <c r="I20" i="19" s="1"/>
  <c r="M20" i="19" s="1"/>
  <c r="J20" i="19"/>
  <c r="L20" i="19" s="1"/>
  <c r="O18" i="19"/>
  <c r="Q18" i="19" s="1"/>
  <c r="R18" i="19" s="1"/>
  <c r="S18" i="19" s="1"/>
  <c r="O19" i="16"/>
  <c r="S20" i="17"/>
  <c r="S74" i="17"/>
  <c r="T74" i="17" s="1"/>
  <c r="T18" i="17"/>
  <c r="S16" i="17"/>
  <c r="O15" i="16"/>
  <c r="S69" i="17"/>
  <c r="T69" i="17" s="1"/>
  <c r="T13" i="17"/>
  <c r="X42" i="17"/>
  <c r="Z12" i="17" s="1"/>
  <c r="S26" i="17"/>
  <c r="C25" i="8"/>
  <c r="D25" i="8" s="1"/>
  <c r="F25" i="8" s="1"/>
  <c r="C24" i="8"/>
  <c r="D24" i="8" s="1"/>
  <c r="F24" i="8" s="1"/>
  <c r="C23" i="8"/>
  <c r="D23" i="8" s="1"/>
  <c r="F23" i="8" s="1"/>
  <c r="C22" i="8"/>
  <c r="D22" i="8" s="1"/>
  <c r="F22" i="8" s="1"/>
  <c r="C21" i="8"/>
  <c r="D21" i="8" s="1"/>
  <c r="F21" i="8" s="1"/>
  <c r="C20" i="8"/>
  <c r="D20" i="8" s="1"/>
  <c r="F20" i="8" s="1"/>
  <c r="C19" i="8"/>
  <c r="D19" i="8" s="1"/>
  <c r="F19" i="8" s="1"/>
  <c r="C18" i="8"/>
  <c r="D18" i="8" s="1"/>
  <c r="F18" i="8" s="1"/>
  <c r="C17" i="8"/>
  <c r="D17" i="8" s="1"/>
  <c r="F17" i="8" s="1"/>
  <c r="C16" i="8"/>
  <c r="D16" i="8" s="1"/>
  <c r="F16" i="8" s="1"/>
  <c r="C15" i="8"/>
  <c r="D15" i="8" s="1"/>
  <c r="F15" i="8" s="1"/>
  <c r="C14" i="8"/>
  <c r="D14" i="8" s="1"/>
  <c r="F14" i="8" s="1"/>
  <c r="C13" i="8"/>
  <c r="D13" i="8" s="1"/>
  <c r="F13" i="8" s="1"/>
  <c r="C12" i="8"/>
  <c r="D12" i="8" s="1"/>
  <c r="F12" i="8" s="1"/>
  <c r="C11" i="8"/>
  <c r="D11" i="8" s="1"/>
  <c r="F11" i="8" s="1"/>
  <c r="C10" i="8"/>
  <c r="D10" i="8" s="1"/>
  <c r="F10" i="8" s="1"/>
  <c r="N73" i="17"/>
  <c r="O24" i="19"/>
  <c r="Q24" i="19" s="1"/>
  <c r="R24" i="19" s="1"/>
  <c r="S24" i="19" s="1"/>
  <c r="E36" i="15"/>
  <c r="F10" i="15" s="1"/>
  <c r="E47" i="15"/>
  <c r="E50" i="15" s="1"/>
  <c r="F12" i="15" s="1"/>
  <c r="G12" i="15" s="1"/>
  <c r="S78" i="17"/>
  <c r="T78" i="17" s="1"/>
  <c r="T22" i="17"/>
  <c r="O20" i="16"/>
  <c r="J70" i="17"/>
  <c r="X70" i="17" s="1"/>
  <c r="S15" i="17"/>
  <c r="X52" i="17"/>
  <c r="Z22" i="17" s="1"/>
  <c r="S19" i="17"/>
  <c r="S75" i="17" s="1"/>
  <c r="T75" i="17" s="1"/>
  <c r="O18" i="16"/>
  <c r="D13" i="22" l="1"/>
  <c r="D10" i="22"/>
  <c r="D14" i="22"/>
  <c r="F14" i="22" s="1"/>
  <c r="D22" i="22"/>
  <c r="D21" i="22"/>
  <c r="H10" i="17"/>
  <c r="H66" i="17" s="1"/>
  <c r="H10" i="8"/>
  <c r="I11" i="19"/>
  <c r="H27" i="19"/>
  <c r="G10" i="15"/>
  <c r="F19" i="15"/>
  <c r="H23" i="17"/>
  <c r="H22" i="8"/>
  <c r="D12" i="22"/>
  <c r="D18" i="22"/>
  <c r="F47" i="15"/>
  <c r="F50" i="15" s="1"/>
  <c r="F36" i="15"/>
  <c r="H11" i="17"/>
  <c r="H11" i="8"/>
  <c r="H20" i="17"/>
  <c r="H19" i="8"/>
  <c r="I27" i="20"/>
  <c r="L11" i="19"/>
  <c r="J27" i="19"/>
  <c r="D24" i="22"/>
  <c r="M66" i="17"/>
  <c r="N66" i="17" s="1"/>
  <c r="N10" i="17"/>
  <c r="AB14" i="17"/>
  <c r="H14" i="18"/>
  <c r="I14" i="18" s="1"/>
  <c r="J14" i="18" s="1"/>
  <c r="R26" i="19"/>
  <c r="D26" i="8"/>
  <c r="F9" i="8"/>
  <c r="T19" i="17"/>
  <c r="N21" i="17"/>
  <c r="L77" i="17"/>
  <c r="N77" i="17" s="1"/>
  <c r="N26" i="17"/>
  <c r="M82" i="17"/>
  <c r="N82" i="17" s="1"/>
  <c r="D54" i="6"/>
  <c r="G54" i="6"/>
  <c r="M13" i="5"/>
  <c r="L24" i="5"/>
  <c r="C8" i="7" s="1"/>
  <c r="E9" i="17"/>
  <c r="M27" i="4"/>
  <c r="L28" i="17"/>
  <c r="L29" i="17" s="1"/>
  <c r="H15" i="17"/>
  <c r="H71" i="17" s="1"/>
  <c r="H14" i="8"/>
  <c r="T26" i="17"/>
  <c r="S82" i="17"/>
  <c r="T82" i="17" s="1"/>
  <c r="S76" i="17"/>
  <c r="T76" i="17" s="1"/>
  <c r="T20" i="17"/>
  <c r="F12" i="6"/>
  <c r="D15" i="22"/>
  <c r="N22" i="17"/>
  <c r="M78" i="17"/>
  <c r="N78" i="17" s="1"/>
  <c r="AB27" i="17"/>
  <c r="H27" i="18"/>
  <c r="I27" i="18" s="1"/>
  <c r="H16" i="17"/>
  <c r="H15" i="8"/>
  <c r="H24" i="17"/>
  <c r="H23" i="8"/>
  <c r="S72" i="17"/>
  <c r="T72" i="17" s="1"/>
  <c r="T16" i="17"/>
  <c r="E12" i="6"/>
  <c r="D11" i="22"/>
  <c r="E40" i="6"/>
  <c r="E11" i="6" s="1"/>
  <c r="F11" i="6" s="1"/>
  <c r="E39" i="6"/>
  <c r="E10" i="6" s="1"/>
  <c r="F10" i="6" s="1"/>
  <c r="P84" i="17"/>
  <c r="T15" i="17"/>
  <c r="S71" i="17"/>
  <c r="T71" i="17" s="1"/>
  <c r="H12" i="17"/>
  <c r="H68" i="17" s="1"/>
  <c r="H12" i="8"/>
  <c r="H17" i="17"/>
  <c r="H73" i="17" s="1"/>
  <c r="H16" i="8"/>
  <c r="H21" i="17"/>
  <c r="H20" i="8"/>
  <c r="H25" i="17"/>
  <c r="H24" i="8"/>
  <c r="L74" i="17"/>
  <c r="N74" i="17" s="1"/>
  <c r="N18" i="17"/>
  <c r="D9" i="22"/>
  <c r="D20" i="22"/>
  <c r="D23" i="22"/>
  <c r="E38" i="6"/>
  <c r="S65" i="17"/>
  <c r="M71" i="17"/>
  <c r="N71" i="17" s="1"/>
  <c r="N15" i="17"/>
  <c r="D74" i="17"/>
  <c r="E19" i="15"/>
  <c r="E43" i="6"/>
  <c r="E14" i="6" s="1"/>
  <c r="F14" i="6" s="1"/>
  <c r="H18" i="8"/>
  <c r="H19" i="17"/>
  <c r="N19" i="17"/>
  <c r="M75" i="17"/>
  <c r="N75" i="17" s="1"/>
  <c r="C25" i="22"/>
  <c r="D8" i="22"/>
  <c r="Q12" i="17"/>
  <c r="I12" i="15"/>
  <c r="H13" i="17"/>
  <c r="H69" i="17" s="1"/>
  <c r="H13" i="8"/>
  <c r="H18" i="17"/>
  <c r="H74" i="17" s="1"/>
  <c r="H17" i="8"/>
  <c r="H21" i="8"/>
  <c r="H22" i="17"/>
  <c r="H26" i="17"/>
  <c r="H25" i="8"/>
  <c r="O20" i="19"/>
  <c r="Q20" i="19" s="1"/>
  <c r="R20" i="19" s="1"/>
  <c r="S20" i="19" s="1"/>
  <c r="R10" i="19"/>
  <c r="M69" i="17"/>
  <c r="N69" i="17" s="1"/>
  <c r="N13" i="17"/>
  <c r="N25" i="17"/>
  <c r="L81" i="17"/>
  <c r="N81" i="17" s="1"/>
  <c r="D17" i="22"/>
  <c r="D16" i="22"/>
  <c r="D19" i="22"/>
  <c r="I11" i="15"/>
  <c r="Q11" i="17"/>
  <c r="J58" i="17"/>
  <c r="X45" i="17"/>
  <c r="Z15" i="17" s="1"/>
  <c r="Z28" i="17" s="1"/>
  <c r="M9" i="17"/>
  <c r="H10" i="21"/>
  <c r="H27" i="21" s="1"/>
  <c r="F27" i="21"/>
  <c r="E42" i="6"/>
  <c r="E13" i="6" s="1"/>
  <c r="F13" i="6" s="1"/>
  <c r="M79" i="17"/>
  <c r="N79" i="17" s="1"/>
  <c r="N23" i="17"/>
  <c r="O11" i="16"/>
  <c r="O26" i="16" s="1"/>
  <c r="S11" i="17"/>
  <c r="S67" i="17" s="1"/>
  <c r="O15" i="19"/>
  <c r="Q15" i="19" s="1"/>
  <c r="Q31" i="19" s="1"/>
  <c r="D68" i="17"/>
  <c r="T12" i="17" l="1"/>
  <c r="Q68" i="17"/>
  <c r="T68" i="17" s="1"/>
  <c r="H77" i="17"/>
  <c r="I17" i="17"/>
  <c r="I73" i="17" s="1"/>
  <c r="F15" i="22"/>
  <c r="H9" i="17"/>
  <c r="H9" i="8"/>
  <c r="H26" i="8" s="1"/>
  <c r="F26" i="8"/>
  <c r="M28" i="17"/>
  <c r="M29" i="17" s="1"/>
  <c r="M65" i="17"/>
  <c r="N9" i="17"/>
  <c r="N28" i="17" s="1"/>
  <c r="H82" i="17"/>
  <c r="I25" i="17"/>
  <c r="I81" i="17" s="1"/>
  <c r="F23" i="22"/>
  <c r="Q10" i="17"/>
  <c r="G19" i="15"/>
  <c r="I10" i="15"/>
  <c r="I19" i="15" s="1"/>
  <c r="I24" i="17"/>
  <c r="I80" i="17" s="1"/>
  <c r="F22" i="22"/>
  <c r="F15" i="17"/>
  <c r="I21" i="17"/>
  <c r="I77" i="17" s="1"/>
  <c r="F19" i="22"/>
  <c r="S10" i="19"/>
  <c r="L84" i="17"/>
  <c r="S84" i="17"/>
  <c r="T65" i="17"/>
  <c r="F12" i="17"/>
  <c r="H67" i="17"/>
  <c r="J11" i="17"/>
  <c r="X58" i="17"/>
  <c r="I18" i="17"/>
  <c r="I74" i="17" s="1"/>
  <c r="J74" i="17" s="1"/>
  <c r="F16" i="22"/>
  <c r="F17" i="17"/>
  <c r="S28" i="17"/>
  <c r="F9" i="22"/>
  <c r="I10" i="17"/>
  <c r="I66" i="17" s="1"/>
  <c r="H81" i="17"/>
  <c r="J81" i="17" s="1"/>
  <c r="X81" i="17" s="1"/>
  <c r="I12" i="17"/>
  <c r="I68" i="17" s="1"/>
  <c r="F11" i="22"/>
  <c r="D8" i="4"/>
  <c r="D30" i="8"/>
  <c r="B30" i="8" s="1"/>
  <c r="D27" i="8"/>
  <c r="F24" i="22"/>
  <c r="I26" i="17"/>
  <c r="I82" i="17" s="1"/>
  <c r="H79" i="17"/>
  <c r="F10" i="22"/>
  <c r="I11" i="17"/>
  <c r="I67" i="17" s="1"/>
  <c r="F10" i="17"/>
  <c r="O11" i="19"/>
  <c r="L27" i="19"/>
  <c r="M11" i="19"/>
  <c r="M27" i="19" s="1"/>
  <c r="I27" i="19"/>
  <c r="H78" i="17"/>
  <c r="J22" i="17"/>
  <c r="X22" i="17" s="1"/>
  <c r="D25" i="22"/>
  <c r="D28" i="22" s="1"/>
  <c r="B28" i="22" s="1"/>
  <c r="F8" i="22"/>
  <c r="I9" i="17"/>
  <c r="H75" i="17"/>
  <c r="J75" i="17" s="1"/>
  <c r="X75" i="17" s="1"/>
  <c r="J19" i="17"/>
  <c r="X19" i="17" s="1"/>
  <c r="J18" i="17"/>
  <c r="I22" i="17"/>
  <c r="I78" i="17" s="1"/>
  <c r="F20" i="22"/>
  <c r="H72" i="17"/>
  <c r="J72" i="17" s="1"/>
  <c r="X72" i="17" s="1"/>
  <c r="J16" i="17"/>
  <c r="X16" i="17" s="1"/>
  <c r="F13" i="17"/>
  <c r="D9" i="17"/>
  <c r="M24" i="5"/>
  <c r="F18" i="22"/>
  <c r="I20" i="17"/>
  <c r="I76" i="17" s="1"/>
  <c r="Q67" i="17"/>
  <c r="T67" i="17" s="1"/>
  <c r="T11" i="17"/>
  <c r="I19" i="17"/>
  <c r="I75" i="17" s="1"/>
  <c r="F17" i="22"/>
  <c r="E9" i="6"/>
  <c r="E44" i="6"/>
  <c r="H80" i="17"/>
  <c r="E65" i="17"/>
  <c r="E84" i="17" s="1"/>
  <c r="E28" i="17"/>
  <c r="E29" i="17" s="1"/>
  <c r="S26" i="19"/>
  <c r="H76" i="17"/>
  <c r="J76" i="17" s="1"/>
  <c r="X76" i="17" s="1"/>
  <c r="J20" i="17"/>
  <c r="X20" i="17" s="1"/>
  <c r="I13" i="17"/>
  <c r="I69" i="17" s="1"/>
  <c r="F12" i="22"/>
  <c r="I23" i="17"/>
  <c r="I79" i="17" s="1"/>
  <c r="F21" i="22"/>
  <c r="I15" i="17"/>
  <c r="I71" i="17" s="1"/>
  <c r="F13" i="22"/>
  <c r="AB20" i="17" l="1"/>
  <c r="H20" i="18"/>
  <c r="I20" i="18" s="1"/>
  <c r="J20" i="18" s="1"/>
  <c r="H16" i="18"/>
  <c r="I16" i="18" s="1"/>
  <c r="J16" i="18" s="1"/>
  <c r="AB16" i="17"/>
  <c r="V18" i="17"/>
  <c r="X18" i="17"/>
  <c r="E15" i="6"/>
  <c r="F9" i="6"/>
  <c r="X59" i="17"/>
  <c r="G29" i="18"/>
  <c r="M84" i="17"/>
  <c r="N65" i="17"/>
  <c r="N84" i="17" s="1"/>
  <c r="J77" i="17"/>
  <c r="H22" i="18"/>
  <c r="I22" i="18" s="1"/>
  <c r="AB22" i="17"/>
  <c r="F66" i="17"/>
  <c r="J66" i="17" s="1"/>
  <c r="J10" i="17"/>
  <c r="J79" i="17"/>
  <c r="X79" i="17" s="1"/>
  <c r="X11" i="17"/>
  <c r="J26" i="17"/>
  <c r="X26" i="17" s="1"/>
  <c r="C9" i="7"/>
  <c r="C11" i="7" s="1"/>
  <c r="F25" i="22"/>
  <c r="Q11" i="19"/>
  <c r="O27" i="19"/>
  <c r="J21" i="17"/>
  <c r="D65" i="17"/>
  <c r="D28" i="17"/>
  <c r="D29" i="17" s="1"/>
  <c r="AB19" i="17"/>
  <c r="H19" i="18"/>
  <c r="I19" i="18" s="1"/>
  <c r="J19" i="18" s="1"/>
  <c r="J23" i="17"/>
  <c r="X23" i="17" s="1"/>
  <c r="F73" i="17"/>
  <c r="J73" i="17" s="1"/>
  <c r="X73" i="17" s="1"/>
  <c r="J17" i="17"/>
  <c r="X17" i="17" s="1"/>
  <c r="F68" i="17"/>
  <c r="J68" i="17" s="1"/>
  <c r="X68" i="17" s="1"/>
  <c r="J12" i="17"/>
  <c r="X12" i="17" s="1"/>
  <c r="F71" i="17"/>
  <c r="J71" i="17" s="1"/>
  <c r="X71" i="17" s="1"/>
  <c r="J15" i="17"/>
  <c r="X15" i="17" s="1"/>
  <c r="H65" i="17"/>
  <c r="H84" i="17" s="1"/>
  <c r="H28" i="17"/>
  <c r="H29" i="17" s="1"/>
  <c r="J24" i="17"/>
  <c r="X24" i="17" s="1"/>
  <c r="F69" i="17"/>
  <c r="J69" i="17" s="1"/>
  <c r="X69" i="17" s="1"/>
  <c r="J13" i="17"/>
  <c r="X13" i="17" s="1"/>
  <c r="J80" i="17"/>
  <c r="X80" i="17" s="1"/>
  <c r="I65" i="17"/>
  <c r="I84" i="17" s="1"/>
  <c r="I28" i="17"/>
  <c r="J78" i="17"/>
  <c r="X78" i="17" s="1"/>
  <c r="J25" i="17"/>
  <c r="X25" i="17" s="1"/>
  <c r="J67" i="17"/>
  <c r="X67" i="17" s="1"/>
  <c r="T10" i="17"/>
  <c r="T28" i="17" s="1"/>
  <c r="Q28" i="17"/>
  <c r="Q29" i="17" s="1"/>
  <c r="Q66" i="17"/>
  <c r="J82" i="17"/>
  <c r="X82" i="17" s="1"/>
  <c r="H24" i="18" l="1"/>
  <c r="I24" i="18" s="1"/>
  <c r="J24" i="18" s="1"/>
  <c r="AB24" i="17"/>
  <c r="Q84" i="17"/>
  <c r="T66" i="17"/>
  <c r="T84" i="17" s="1"/>
  <c r="H25" i="18"/>
  <c r="I25" i="18" s="1"/>
  <c r="J25" i="18" s="1"/>
  <c r="AB25" i="17"/>
  <c r="R11" i="19"/>
  <c r="Q30" i="19"/>
  <c r="Q32" i="19" s="1"/>
  <c r="Q27" i="19"/>
  <c r="AB18" i="17"/>
  <c r="H18" i="18"/>
  <c r="I18" i="18" s="1"/>
  <c r="AB13" i="17"/>
  <c r="H13" i="18"/>
  <c r="I13" i="18" s="1"/>
  <c r="J13" i="18" s="1"/>
  <c r="D84" i="17"/>
  <c r="X10" i="17"/>
  <c r="V74" i="17"/>
  <c r="V28" i="17"/>
  <c r="H11" i="18"/>
  <c r="I11" i="18" s="1"/>
  <c r="J11" i="18" s="1"/>
  <c r="AB11" i="17"/>
  <c r="AB12" i="17"/>
  <c r="H12" i="18"/>
  <c r="I12" i="18" s="1"/>
  <c r="J12" i="18" s="1"/>
  <c r="AB23" i="17"/>
  <c r="H23" i="18"/>
  <c r="I23" i="18" s="1"/>
  <c r="J23" i="18" s="1"/>
  <c r="AB26" i="17"/>
  <c r="H26" i="18"/>
  <c r="I26" i="18" s="1"/>
  <c r="J26" i="18" s="1"/>
  <c r="AB15" i="17"/>
  <c r="H15" i="18"/>
  <c r="I15" i="18" s="1"/>
  <c r="J15" i="18" s="1"/>
  <c r="AB17" i="17"/>
  <c r="H17" i="18"/>
  <c r="I17" i="18" s="1"/>
  <c r="J17" i="18" s="1"/>
  <c r="X21" i="17"/>
  <c r="V21" i="17"/>
  <c r="V77" i="17" s="1"/>
  <c r="X77" i="17" s="1"/>
  <c r="F15" i="6"/>
  <c r="F9" i="17"/>
  <c r="F65" i="17" l="1"/>
  <c r="F28" i="17"/>
  <c r="F29" i="17" s="1"/>
  <c r="J9" i="17"/>
  <c r="AB10" i="17"/>
  <c r="H10" i="18"/>
  <c r="I10" i="18" s="1"/>
  <c r="J10" i="18" s="1"/>
  <c r="G12" i="6"/>
  <c r="G13" i="6"/>
  <c r="G14" i="6"/>
  <c r="G10" i="6"/>
  <c r="G11" i="6"/>
  <c r="X66" i="17"/>
  <c r="V84" i="17"/>
  <c r="X74" i="17"/>
  <c r="AB21" i="17"/>
  <c r="H21" i="18"/>
  <c r="I21" i="18" s="1"/>
  <c r="S11" i="19"/>
  <c r="S27" i="19" s="1"/>
  <c r="R30" i="19"/>
  <c r="R32" i="19" s="1"/>
  <c r="R27" i="19"/>
  <c r="G9" i="6"/>
  <c r="J28" i="17" l="1"/>
  <c r="X9" i="17"/>
  <c r="F84" i="17"/>
  <c r="J65" i="17"/>
  <c r="H9" i="18" l="1"/>
  <c r="X28" i="17"/>
  <c r="X30" i="17" s="1"/>
  <c r="AB9" i="17"/>
  <c r="AB28" i="17" s="1"/>
  <c r="J84" i="17"/>
  <c r="X65" i="17"/>
  <c r="X84" i="17" s="1"/>
  <c r="I9" i="18" l="1"/>
  <c r="H28" i="18"/>
  <c r="H29" i="18" s="1"/>
  <c r="I28" i="18" l="1"/>
  <c r="J28" i="18" s="1"/>
  <c r="J9" i="18"/>
</calcChain>
</file>

<file path=xl/comments1.xml><?xml version="1.0" encoding="utf-8"?>
<comments xmlns="http://schemas.openxmlformats.org/spreadsheetml/2006/main">
  <authors>
    <author>Office of Business and Financial Services</author>
    <author>goleynic</author>
  </authors>
  <commentList>
    <comment ref="C15" authorId="0" shapeId="0">
      <text>
        <r>
          <rPr>
            <b/>
            <sz val="8"/>
            <color indexed="81"/>
            <rFont val="Tahoma"/>
            <family val="2"/>
          </rPr>
          <t>Office of Business and Financial Services:</t>
        </r>
        <r>
          <rPr>
            <sz val="8"/>
            <color indexed="81"/>
            <rFont val="Tahoma"/>
            <family val="2"/>
          </rPr>
          <t xml:space="preserve">
Estimated Summer 2018 using Summer 2017 actuals</t>
        </r>
      </text>
    </comment>
    <comment ref="C19" authorId="1" shapeId="0">
      <text>
        <r>
          <rPr>
            <b/>
            <sz val="9"/>
            <color indexed="81"/>
            <rFont val="Tahoma"/>
            <family val="2"/>
          </rPr>
          <t>goleynic:</t>
        </r>
        <r>
          <rPr>
            <sz val="9"/>
            <color indexed="81"/>
            <rFont val="Tahoma"/>
            <family val="2"/>
          </rPr>
          <t xml:space="preserve"> estimated Summer 2017</t>
        </r>
        <r>
          <rPr>
            <b/>
            <sz val="9"/>
            <color indexed="81"/>
            <rFont val="Tahoma"/>
            <family val="2"/>
          </rPr>
          <t xml:space="preserve">
</t>
        </r>
      </text>
    </comment>
  </commentList>
</comments>
</file>

<file path=xl/comments10.xml><?xml version="1.0" encoding="utf-8"?>
<comments xmlns="http://schemas.openxmlformats.org/spreadsheetml/2006/main">
  <authors>
    <author>srinehar</author>
    <author>Suzanne Rinehart</author>
    <author>Oleynichak, Gina</author>
  </authors>
  <commentList>
    <comment ref="F13" authorId="0" shapeId="0">
      <text>
        <r>
          <rPr>
            <b/>
            <sz val="9"/>
            <color indexed="81"/>
            <rFont val="Tahoma"/>
            <family val="2"/>
          </rPr>
          <t>srinehar:</t>
        </r>
        <r>
          <rPr>
            <sz val="9"/>
            <color indexed="81"/>
            <rFont val="Tahoma"/>
            <family val="2"/>
          </rPr>
          <t xml:space="preserve">
Exempt from surcharge</t>
        </r>
      </text>
    </comment>
    <comment ref="E21" authorId="1" shapeId="0">
      <text>
        <r>
          <rPr>
            <b/>
            <sz val="8"/>
            <color indexed="81"/>
            <rFont val="Tahoma"/>
            <family val="2"/>
          </rPr>
          <t>Suzanne Rinehart:</t>
        </r>
        <r>
          <rPr>
            <sz val="8"/>
            <color indexed="81"/>
            <rFont val="Tahoma"/>
            <family val="2"/>
          </rPr>
          <t xml:space="preserve">
Law, MBA, Accy Masters, EMBA, Chicago Tax scholarships removed from net tuition for surcharge calculation.</t>
        </r>
      </text>
    </comment>
    <comment ref="D22" authorId="2" shapeId="0">
      <text>
        <r>
          <rPr>
            <b/>
            <sz val="9"/>
            <color indexed="81"/>
            <rFont val="Tahoma"/>
            <family val="2"/>
          </rPr>
          <t>Oleynichak, Gina:</t>
        </r>
        <r>
          <rPr>
            <sz val="9"/>
            <color indexed="81"/>
            <rFont val="Tahoma"/>
            <family val="2"/>
          </rPr>
          <t xml:space="preserve">
FY18 level right now</t>
        </r>
      </text>
    </comment>
    <comment ref="D49" authorId="2" shapeId="0">
      <text>
        <r>
          <rPr>
            <b/>
            <sz val="9"/>
            <color indexed="81"/>
            <rFont val="Tahoma"/>
            <family val="2"/>
          </rPr>
          <t>Oleynichak, Gina:</t>
        </r>
        <r>
          <rPr>
            <sz val="9"/>
            <color indexed="81"/>
            <rFont val="Tahoma"/>
            <family val="2"/>
          </rPr>
          <t xml:space="preserve">
Per Tessa 6/6/18
</t>
        </r>
      </text>
    </comment>
  </commentList>
</comments>
</file>

<file path=xl/comments11.xml><?xml version="1.0" encoding="utf-8"?>
<comments xmlns="http://schemas.openxmlformats.org/spreadsheetml/2006/main">
  <authors>
    <author>Oleynichak, Gina</author>
    <author>University Administration</author>
  </authors>
  <commentList>
    <comment ref="L9" authorId="0" shapeId="0">
      <text>
        <r>
          <rPr>
            <b/>
            <sz val="9"/>
            <color indexed="81"/>
            <rFont val="Tahoma"/>
            <family val="2"/>
          </rPr>
          <t>Oleynichak, Gina:</t>
        </r>
        <r>
          <rPr>
            <sz val="9"/>
            <color indexed="81"/>
            <rFont val="Tahoma"/>
            <family val="2"/>
          </rPr>
          <t xml:space="preserve">
From Brenda Clevenger
</t>
        </r>
      </text>
    </comment>
    <comment ref="A10" authorId="1" shapeId="0">
      <text>
        <r>
          <rPr>
            <b/>
            <sz val="8"/>
            <color indexed="81"/>
            <rFont val="Tahoma"/>
            <family val="2"/>
          </rPr>
          <t>University Administration:</t>
        </r>
        <r>
          <rPr>
            <sz val="8"/>
            <color indexed="81"/>
            <rFont val="Tahoma"/>
            <family val="2"/>
          </rPr>
          <t xml:space="preserve">
For FY04 and prior, Carol's original data included Accy Post Bac Certs in undergrad totals. This was corrected for FY05 and beyond. The new data excluded Accy Post. Bac for FY04 &amp; FY05.</t>
        </r>
      </text>
    </comment>
    <comment ref="L11" authorId="0" shapeId="0">
      <text>
        <r>
          <rPr>
            <b/>
            <sz val="9"/>
            <color indexed="81"/>
            <rFont val="Tahoma"/>
            <family val="2"/>
          </rPr>
          <t>Oleynichak, Gina:</t>
        </r>
        <r>
          <rPr>
            <sz val="9"/>
            <color indexed="81"/>
            <rFont val="Tahoma"/>
            <family val="2"/>
          </rPr>
          <t xml:space="preserve">
From Brenda Clevenger
</t>
        </r>
      </text>
    </comment>
    <comment ref="L13" authorId="0" shapeId="0">
      <text>
        <r>
          <rPr>
            <b/>
            <sz val="9"/>
            <color indexed="81"/>
            <rFont val="Tahoma"/>
            <family val="2"/>
          </rPr>
          <t>Oleynichak, Gina:</t>
        </r>
        <r>
          <rPr>
            <sz val="9"/>
            <color indexed="81"/>
            <rFont val="Tahoma"/>
            <family val="2"/>
          </rPr>
          <t xml:space="preserve">
From Brenda Clevenger
</t>
        </r>
      </text>
    </comment>
    <comment ref="H15" authorId="0" shapeId="0">
      <text>
        <r>
          <rPr>
            <b/>
            <sz val="9"/>
            <color indexed="81"/>
            <rFont val="Tahoma"/>
            <family val="2"/>
          </rPr>
          <t>Oleynichak, Gina:</t>
        </r>
        <r>
          <rPr>
            <sz val="9"/>
            <color indexed="81"/>
            <rFont val="Tahoma"/>
            <family val="2"/>
          </rPr>
          <t xml:space="preserve">
From Randy Elkins 6/18/18</t>
        </r>
      </text>
    </comment>
    <comment ref="L16" authorId="0" shapeId="0">
      <text>
        <r>
          <rPr>
            <b/>
            <sz val="9"/>
            <color indexed="81"/>
            <rFont val="Tahoma"/>
            <family val="2"/>
          </rPr>
          <t>Oleynichak, Gina:</t>
        </r>
        <r>
          <rPr>
            <sz val="9"/>
            <color indexed="81"/>
            <rFont val="Tahoma"/>
            <family val="2"/>
          </rPr>
          <t xml:space="preserve">
From Brenda Clevenger
</t>
        </r>
      </text>
    </comment>
    <comment ref="L18" authorId="0" shapeId="0">
      <text>
        <r>
          <rPr>
            <b/>
            <sz val="9"/>
            <color indexed="81"/>
            <rFont val="Tahoma"/>
            <family val="2"/>
          </rPr>
          <t>Oleynichak, Gina:</t>
        </r>
        <r>
          <rPr>
            <sz val="9"/>
            <color indexed="81"/>
            <rFont val="Tahoma"/>
            <family val="2"/>
          </rPr>
          <t xml:space="preserve">
From Brenda Clevenger
</t>
        </r>
      </text>
    </comment>
    <comment ref="L25" authorId="0" shapeId="0">
      <text>
        <r>
          <rPr>
            <b/>
            <sz val="9"/>
            <color indexed="81"/>
            <rFont val="Tahoma"/>
            <family val="2"/>
          </rPr>
          <t>Oleynichak, Gina:</t>
        </r>
        <r>
          <rPr>
            <sz val="9"/>
            <color indexed="81"/>
            <rFont val="Tahoma"/>
            <family val="2"/>
          </rPr>
          <t xml:space="preserve">
From Brenda Clevenger
</t>
        </r>
      </text>
    </comment>
  </commentList>
</comments>
</file>

<file path=xl/comments12.xml><?xml version="1.0" encoding="utf-8"?>
<comments xmlns="http://schemas.openxmlformats.org/spreadsheetml/2006/main">
  <authors>
    <author>Oleynichak, Gina</author>
    <author>University Administration</author>
    <author>Rinehart, Suzanne M</author>
  </authors>
  <commentList>
    <comment ref="R9" authorId="0" shapeId="0">
      <text>
        <r>
          <rPr>
            <b/>
            <sz val="9"/>
            <color indexed="81"/>
            <rFont val="Tahoma"/>
            <family val="2"/>
          </rPr>
          <t>Oleynichak, Gina:</t>
        </r>
        <r>
          <rPr>
            <sz val="9"/>
            <color indexed="81"/>
            <rFont val="Tahoma"/>
            <family val="2"/>
          </rPr>
          <t xml:space="preserve">
Unit receives approximately 76.02% of Eng International Differential; there is a specific detail code to isolate</t>
        </r>
      </text>
    </comment>
    <comment ref="A10" authorId="1" shapeId="0">
      <text>
        <r>
          <rPr>
            <b/>
            <sz val="8"/>
            <color indexed="81"/>
            <rFont val="Tahoma"/>
            <family val="2"/>
          </rPr>
          <t>University Administration:</t>
        </r>
        <r>
          <rPr>
            <sz val="8"/>
            <color indexed="81"/>
            <rFont val="Tahoma"/>
            <family val="2"/>
          </rPr>
          <t xml:space="preserve">
For FY04 and prior, Carol's original data included Accy Post Bac Certs in undergrad totals. This was corrected for FY05 and beyond. The new data excluded Accy Post. Bac for FY04 &amp; FY05.</t>
        </r>
      </text>
    </comment>
    <comment ref="R10" authorId="0" shapeId="0">
      <text>
        <r>
          <rPr>
            <b/>
            <sz val="9"/>
            <color indexed="81"/>
            <rFont val="Tahoma"/>
            <family val="2"/>
          </rPr>
          <t>Oleynichak, Gina:</t>
        </r>
        <r>
          <rPr>
            <sz val="9"/>
            <color indexed="81"/>
            <rFont val="Tahoma"/>
            <family val="2"/>
          </rPr>
          <t xml:space="preserve">
FY18 Projection</t>
        </r>
      </text>
    </comment>
    <comment ref="R12" authorId="0" shapeId="0">
      <text>
        <r>
          <rPr>
            <b/>
            <sz val="9"/>
            <color indexed="81"/>
            <rFont val="Tahoma"/>
            <family val="2"/>
          </rPr>
          <t>Oleynichak, Gina:</t>
        </r>
        <r>
          <rPr>
            <sz val="9"/>
            <color indexed="81"/>
            <rFont val="Tahoma"/>
            <family val="2"/>
          </rPr>
          <t xml:space="preserve">
Unit receives approximately 76.6% of Eng International Differential; there is a specific detail code to isolate</t>
        </r>
      </text>
    </comment>
    <comment ref="R17" authorId="0" shapeId="0">
      <text>
        <r>
          <rPr>
            <b/>
            <sz val="9"/>
            <color indexed="81"/>
            <rFont val="Tahoma"/>
            <family val="2"/>
          </rPr>
          <t>Oleynichak, Gina:</t>
        </r>
        <r>
          <rPr>
            <sz val="9"/>
            <color indexed="81"/>
            <rFont val="Tahoma"/>
            <family val="2"/>
          </rPr>
          <t xml:space="preserve">
Unit receives approximately 76.6% of Eng International Differential; there is a specific detail code to isolate</t>
        </r>
      </text>
    </comment>
    <comment ref="Z18" authorId="2" shapeId="0">
      <text>
        <r>
          <rPr>
            <b/>
            <sz val="9"/>
            <color indexed="81"/>
            <rFont val="Tahoma"/>
            <family val="2"/>
          </rPr>
          <t>Rinehart, Suzanne M:</t>
        </r>
        <r>
          <rPr>
            <sz val="9"/>
            <color indexed="81"/>
            <rFont val="Tahoma"/>
            <family val="2"/>
          </rPr>
          <t xml:space="preserve">
not allocated</t>
        </r>
      </text>
    </comment>
    <comment ref="Z21" authorId="2" shapeId="0">
      <text>
        <r>
          <rPr>
            <b/>
            <sz val="9"/>
            <color indexed="81"/>
            <rFont val="Tahoma"/>
            <family val="2"/>
          </rPr>
          <t>Rinehart, Suzanne M:</t>
        </r>
        <r>
          <rPr>
            <sz val="9"/>
            <color indexed="81"/>
            <rFont val="Tahoma"/>
            <family val="2"/>
          </rPr>
          <t xml:space="preserve">
not allocated</t>
        </r>
      </text>
    </comment>
    <comment ref="Z22" authorId="2" shapeId="0">
      <text>
        <r>
          <rPr>
            <b/>
            <sz val="9"/>
            <color indexed="81"/>
            <rFont val="Tahoma"/>
            <family val="2"/>
          </rPr>
          <t>Rinehart, Suzanne M:</t>
        </r>
        <r>
          <rPr>
            <sz val="9"/>
            <color indexed="81"/>
            <rFont val="Tahoma"/>
            <family val="2"/>
          </rPr>
          <t xml:space="preserve">
not allocated</t>
        </r>
      </text>
    </comment>
    <comment ref="V23" authorId="2" shapeId="0">
      <text>
        <r>
          <rPr>
            <b/>
            <sz val="9"/>
            <color indexed="81"/>
            <rFont val="Tahoma"/>
            <family val="2"/>
          </rPr>
          <t>Rinehart, Suzanne M:</t>
        </r>
        <r>
          <rPr>
            <sz val="9"/>
            <color indexed="81"/>
            <rFont val="Tahoma"/>
            <family val="2"/>
          </rPr>
          <t xml:space="preserve">
Campus agreed to hold LER at zero for Undergrad IU adjustment
</t>
        </r>
      </text>
    </comment>
    <comment ref="A40" authorId="1" shapeId="0">
      <text>
        <r>
          <rPr>
            <b/>
            <sz val="8"/>
            <color indexed="81"/>
            <rFont val="Tahoma"/>
            <family val="2"/>
          </rPr>
          <t>University Administration:</t>
        </r>
        <r>
          <rPr>
            <sz val="8"/>
            <color indexed="81"/>
            <rFont val="Tahoma"/>
            <family val="2"/>
          </rPr>
          <t xml:space="preserve">
For FY04 and prior, Carol's original data included Accy Post Bac Certs in undergrad totals. This was corrected for FY05 and beyond. The new data excluded Accy Post. Bac for FY04 &amp; FY05.</t>
        </r>
      </text>
    </comment>
    <comment ref="X48" authorId="2" shapeId="0">
      <text>
        <r>
          <rPr>
            <b/>
            <sz val="9"/>
            <color indexed="81"/>
            <rFont val="Tahoma"/>
            <family val="2"/>
          </rPr>
          <t>Rinehart, Suzanne M:</t>
        </r>
        <r>
          <rPr>
            <sz val="9"/>
            <color indexed="81"/>
            <rFont val="Tahoma"/>
            <family val="2"/>
          </rPr>
          <t xml:space="preserve">
not allocated</t>
        </r>
      </text>
    </comment>
    <comment ref="X51" authorId="2" shapeId="0">
      <text>
        <r>
          <rPr>
            <b/>
            <sz val="9"/>
            <color indexed="81"/>
            <rFont val="Tahoma"/>
            <family val="2"/>
          </rPr>
          <t>Rinehart, Suzanne M:</t>
        </r>
        <r>
          <rPr>
            <sz val="9"/>
            <color indexed="81"/>
            <rFont val="Tahoma"/>
            <family val="2"/>
          </rPr>
          <t xml:space="preserve">
not allocated</t>
        </r>
      </text>
    </comment>
    <comment ref="X52" authorId="2" shapeId="0">
      <text>
        <r>
          <rPr>
            <b/>
            <sz val="9"/>
            <color indexed="81"/>
            <rFont val="Tahoma"/>
            <family val="2"/>
          </rPr>
          <t>Rinehart, Suzanne M:</t>
        </r>
        <r>
          <rPr>
            <sz val="9"/>
            <color indexed="81"/>
            <rFont val="Tahoma"/>
            <family val="2"/>
          </rPr>
          <t xml:space="preserve">
not allocated</t>
        </r>
      </text>
    </comment>
    <comment ref="V53" authorId="2" shapeId="0">
      <text>
        <r>
          <rPr>
            <b/>
            <sz val="9"/>
            <color indexed="81"/>
            <rFont val="Tahoma"/>
            <family val="2"/>
          </rPr>
          <t>Rinehart, Suzanne M:</t>
        </r>
        <r>
          <rPr>
            <sz val="9"/>
            <color indexed="81"/>
            <rFont val="Tahoma"/>
            <family val="2"/>
          </rPr>
          <t xml:space="preserve">
Campus agreed to hold LER at zero for Undergrad IU adjustment
</t>
        </r>
      </text>
    </comment>
    <comment ref="A66" authorId="1" shapeId="0">
      <text>
        <r>
          <rPr>
            <b/>
            <sz val="8"/>
            <color indexed="81"/>
            <rFont val="Tahoma"/>
            <family val="2"/>
          </rPr>
          <t>University Administration:</t>
        </r>
        <r>
          <rPr>
            <sz val="8"/>
            <color indexed="81"/>
            <rFont val="Tahoma"/>
            <family val="2"/>
          </rPr>
          <t xml:space="preserve">
For FY04 and prior, Carol's original data included Accy Post Bac Certs in undergrad totals. This was corrected for FY05 and beyond. The new data excluded Accy Post. Bac for FY04 &amp; FY05.</t>
        </r>
      </text>
    </comment>
  </commentList>
</comments>
</file>

<file path=xl/comments13.xml><?xml version="1.0" encoding="utf-8"?>
<comments xmlns="http://schemas.openxmlformats.org/spreadsheetml/2006/main">
  <authors>
    <author>srinehar</author>
  </authors>
  <commentList>
    <comment ref="D16" authorId="0" shapeId="0">
      <text>
        <r>
          <rPr>
            <b/>
            <sz val="9"/>
            <color indexed="81"/>
            <rFont val="Tahoma"/>
            <family val="2"/>
          </rPr>
          <t>srinehar:</t>
        </r>
        <r>
          <rPr>
            <sz val="9"/>
            <color indexed="81"/>
            <rFont val="Tahoma"/>
            <family val="2"/>
          </rPr>
          <t xml:space="preserve">
added library IT fee to TD model for FY13</t>
        </r>
      </text>
    </comment>
  </commentList>
</comments>
</file>

<file path=xl/comments2.xml><?xml version="1.0" encoding="utf-8"?>
<comments xmlns="http://schemas.openxmlformats.org/spreadsheetml/2006/main">
  <authors>
    <author>goleynic</author>
    <author>Rinehart, Suzanne M</author>
  </authors>
  <commentList>
    <comment ref="D9" authorId="0" shapeId="0">
      <text>
        <r>
          <rPr>
            <b/>
            <sz val="9"/>
            <color indexed="81"/>
            <rFont val="Tahoma"/>
            <family val="2"/>
          </rPr>
          <t>goleynic:</t>
        </r>
        <r>
          <rPr>
            <sz val="9"/>
            <color indexed="81"/>
            <rFont val="Tahoma"/>
            <family val="2"/>
          </rPr>
          <t xml:space="preserve">
 as of 6/5/17</t>
        </r>
      </text>
    </comment>
    <comment ref="G9" authorId="0" shapeId="0">
      <text>
        <r>
          <rPr>
            <b/>
            <sz val="9"/>
            <color indexed="81"/>
            <rFont val="Tahoma"/>
            <family val="2"/>
          </rPr>
          <t>goleynic:</t>
        </r>
        <r>
          <rPr>
            <sz val="9"/>
            <color indexed="81"/>
            <rFont val="Tahoma"/>
            <family val="2"/>
          </rPr>
          <t xml:space="preserve">
 as of 3/26/2018</t>
        </r>
      </text>
    </comment>
    <comment ref="M24" authorId="1" shapeId="0">
      <text>
        <r>
          <rPr>
            <b/>
            <sz val="9"/>
            <color indexed="81"/>
            <rFont val="Tahoma"/>
            <family val="2"/>
          </rPr>
          <t>Rinehart, Suzanne M:</t>
        </r>
        <r>
          <rPr>
            <sz val="9"/>
            <color indexed="81"/>
            <rFont val="Tahoma"/>
            <family val="2"/>
          </rPr>
          <t xml:space="preserve">
We won't allocate at negative to LER
</t>
        </r>
      </text>
    </comment>
  </commentList>
</comments>
</file>

<file path=xl/comments3.xml><?xml version="1.0" encoding="utf-8"?>
<comments xmlns="http://schemas.openxmlformats.org/spreadsheetml/2006/main">
  <authors>
    <author>Oleynichak, Gina</author>
    <author>Suzanne Rinehart</author>
  </authors>
  <commentList>
    <comment ref="E16" authorId="0" shapeId="0">
      <text>
        <r>
          <rPr>
            <b/>
            <sz val="9"/>
            <color indexed="81"/>
            <rFont val="Tahoma"/>
            <family val="2"/>
          </rPr>
          <t>Oleynichak, Gina:</t>
        </r>
        <r>
          <rPr>
            <sz val="9"/>
            <color indexed="81"/>
            <rFont val="Tahoma"/>
            <family val="2"/>
          </rPr>
          <t xml:space="preserve">
Pre-Engineering Program split enrollment 50/50 LAS and Engineering</t>
        </r>
      </text>
    </comment>
    <comment ref="F16" authorId="0" shapeId="0">
      <text>
        <r>
          <rPr>
            <b/>
            <sz val="9"/>
            <color indexed="81"/>
            <rFont val="Tahoma"/>
            <family val="2"/>
          </rPr>
          <t>Oleynichak, Gina:</t>
        </r>
        <r>
          <rPr>
            <sz val="9"/>
            <color indexed="81"/>
            <rFont val="Tahoma"/>
            <family val="2"/>
          </rPr>
          <t xml:space="preserve">
Pre-Engineering Program split enrollment 50/50 LAS and Engineering</t>
        </r>
      </text>
    </comment>
    <comment ref="A19" authorId="1" shapeId="0">
      <text>
        <r>
          <rPr>
            <b/>
            <sz val="8"/>
            <color indexed="81"/>
            <rFont val="Tahoma"/>
            <family val="2"/>
          </rPr>
          <t>Suzanne Rinehart:</t>
        </r>
        <r>
          <rPr>
            <sz val="8"/>
            <color indexed="81"/>
            <rFont val="Tahoma"/>
            <family val="2"/>
          </rPr>
          <t xml:space="preserve">
includes enrollment counts in DGS.</t>
        </r>
      </text>
    </comment>
    <comment ref="E19" authorId="0" shapeId="0">
      <text>
        <r>
          <rPr>
            <b/>
            <sz val="9"/>
            <color indexed="81"/>
            <rFont val="Tahoma"/>
            <family val="2"/>
          </rPr>
          <t>Oleynichak, Gina:</t>
        </r>
        <r>
          <rPr>
            <sz val="9"/>
            <color indexed="81"/>
            <rFont val="Tahoma"/>
            <family val="2"/>
          </rPr>
          <t xml:space="preserve">
Pre-Engineering Program split enrollment 50/50 LAS and Engineering</t>
        </r>
      </text>
    </comment>
    <comment ref="F19" authorId="0" shapeId="0">
      <text>
        <r>
          <rPr>
            <b/>
            <sz val="9"/>
            <color indexed="81"/>
            <rFont val="Tahoma"/>
            <family val="2"/>
          </rPr>
          <t>Oleynichak, Gina:</t>
        </r>
        <r>
          <rPr>
            <sz val="9"/>
            <color indexed="81"/>
            <rFont val="Tahoma"/>
            <family val="2"/>
          </rPr>
          <t xml:space="preserve">
Pre-Engineering Program split enrollment 50/50 LAS and Engineering</t>
        </r>
      </text>
    </comment>
  </commentList>
</comments>
</file>

<file path=xl/comments4.xml><?xml version="1.0" encoding="utf-8"?>
<comments xmlns="http://schemas.openxmlformats.org/spreadsheetml/2006/main">
  <authors>
    <author>srinehar</author>
    <author>Oleynichak, Gina</author>
  </authors>
  <commentList>
    <comment ref="B7" authorId="0" shapeId="0">
      <text>
        <r>
          <rPr>
            <b/>
            <sz val="9"/>
            <color indexed="81"/>
            <rFont val="Tahoma"/>
            <family val="2"/>
          </rPr>
          <t>srinehar:</t>
        </r>
        <r>
          <rPr>
            <sz val="9"/>
            <color indexed="81"/>
            <rFont val="Tahoma"/>
            <family val="2"/>
          </rPr>
          <t xml:space="preserve">
base rate net tuition only</t>
        </r>
      </text>
    </comment>
    <comment ref="G8" authorId="0" shapeId="0">
      <text>
        <r>
          <rPr>
            <b/>
            <sz val="9"/>
            <color indexed="81"/>
            <rFont val="Tahoma"/>
            <family val="2"/>
          </rPr>
          <t>srinehar:</t>
        </r>
        <r>
          <rPr>
            <sz val="9"/>
            <color indexed="81"/>
            <rFont val="Tahoma"/>
            <family val="2"/>
          </rPr>
          <t xml:space="preserve">
FY12 allocation includes full summer tuiiton (base + differential rate). Starting in FY11, base rate is allocated via IU and differential will go directly to unit generating.</t>
        </r>
      </text>
    </comment>
    <comment ref="E9" authorId="1" shapeId="0">
      <text>
        <r>
          <rPr>
            <b/>
            <sz val="9"/>
            <color indexed="81"/>
            <rFont val="Tahoma"/>
            <family val="2"/>
          </rPr>
          <t>Oleynichak, Gina:</t>
        </r>
        <r>
          <rPr>
            <sz val="9"/>
            <color indexed="81"/>
            <rFont val="Tahoma"/>
            <family val="2"/>
          </rPr>
          <t xml:space="preserve">
Summer 2017 level
</t>
        </r>
      </text>
    </comment>
    <comment ref="E10" authorId="1" shapeId="0">
      <text>
        <r>
          <rPr>
            <b/>
            <sz val="9"/>
            <color indexed="81"/>
            <rFont val="Tahoma"/>
            <family val="2"/>
          </rPr>
          <t>Oleynichak, Gina:</t>
        </r>
        <r>
          <rPr>
            <sz val="9"/>
            <color indexed="81"/>
            <rFont val="Tahoma"/>
            <family val="2"/>
          </rPr>
          <t xml:space="preserve">
Summer 2017 level
</t>
        </r>
      </text>
    </comment>
    <comment ref="E12" authorId="1" shapeId="0">
      <text>
        <r>
          <rPr>
            <b/>
            <sz val="9"/>
            <color indexed="81"/>
            <rFont val="Tahoma"/>
            <family val="2"/>
          </rPr>
          <t>Oleynichak, Gina:</t>
        </r>
        <r>
          <rPr>
            <sz val="9"/>
            <color indexed="81"/>
            <rFont val="Tahoma"/>
            <family val="2"/>
          </rPr>
          <t xml:space="preserve">
Summer 2017 level
</t>
        </r>
      </text>
    </comment>
    <comment ref="E13" authorId="1" shapeId="0">
      <text>
        <r>
          <rPr>
            <b/>
            <sz val="9"/>
            <color indexed="81"/>
            <rFont val="Tahoma"/>
            <family val="2"/>
          </rPr>
          <t>Oleynichak, Gina:</t>
        </r>
        <r>
          <rPr>
            <sz val="9"/>
            <color indexed="81"/>
            <rFont val="Tahoma"/>
            <family val="2"/>
          </rPr>
          <t xml:space="preserve">
Summer 2017 level
</t>
        </r>
      </text>
    </comment>
    <comment ref="E14" authorId="1" shapeId="0">
      <text>
        <r>
          <rPr>
            <b/>
            <sz val="9"/>
            <color indexed="81"/>
            <rFont val="Tahoma"/>
            <family val="2"/>
          </rPr>
          <t>Oleynichak, Gina:</t>
        </r>
        <r>
          <rPr>
            <sz val="9"/>
            <color indexed="81"/>
            <rFont val="Tahoma"/>
            <family val="2"/>
          </rPr>
          <t xml:space="preserve">
Summer 2017 level
</t>
        </r>
      </text>
    </comment>
    <comment ref="E16" authorId="1" shapeId="0">
      <text>
        <r>
          <rPr>
            <b/>
            <sz val="9"/>
            <color indexed="81"/>
            <rFont val="Tahoma"/>
            <family val="2"/>
          </rPr>
          <t>Oleynichak, Gina:</t>
        </r>
        <r>
          <rPr>
            <sz val="9"/>
            <color indexed="81"/>
            <rFont val="Tahoma"/>
            <family val="2"/>
          </rPr>
          <t xml:space="preserve">
Summer 2017 level
</t>
        </r>
      </text>
    </comment>
    <comment ref="G17" authorId="1" shapeId="0">
      <text>
        <r>
          <rPr>
            <b/>
            <sz val="9"/>
            <color indexed="81"/>
            <rFont val="Tahoma"/>
            <family val="2"/>
          </rPr>
          <t>Oleynichak, Gina:</t>
        </r>
        <r>
          <rPr>
            <sz val="9"/>
            <color indexed="81"/>
            <rFont val="Tahoma"/>
            <family val="2"/>
          </rPr>
          <t xml:space="preserve">
FY15 Allocation $27,900, $16,600 was the actual</t>
        </r>
      </text>
    </comment>
    <comment ref="G20" authorId="1" shapeId="0">
      <text>
        <r>
          <rPr>
            <b/>
            <sz val="9"/>
            <color indexed="81"/>
            <rFont val="Tahoma"/>
            <family val="2"/>
          </rPr>
          <t>Oleynichak, Gina:</t>
        </r>
        <r>
          <rPr>
            <sz val="9"/>
            <color indexed="81"/>
            <rFont val="Tahoma"/>
            <family val="2"/>
          </rPr>
          <t xml:space="preserve">
FY15 Allocation $1,200, $0 was the actual</t>
        </r>
      </text>
    </comment>
  </commentList>
</comments>
</file>

<file path=xl/comments5.xml><?xml version="1.0" encoding="utf-8"?>
<comments xmlns="http://schemas.openxmlformats.org/spreadsheetml/2006/main">
  <authors>
    <author>srinehar</author>
  </authors>
  <commentList>
    <comment ref="B6" authorId="0" shapeId="0">
      <text>
        <r>
          <rPr>
            <b/>
            <sz val="9"/>
            <color indexed="81"/>
            <rFont val="Tahoma"/>
            <family val="2"/>
          </rPr>
          <t>Gina Oleynichak:</t>
        </r>
        <r>
          <rPr>
            <sz val="9"/>
            <color indexed="81"/>
            <rFont val="Tahoma"/>
            <family val="2"/>
          </rPr>
          <t xml:space="preserve">
net base rate tuition only</t>
        </r>
      </text>
    </comment>
  </commentList>
</comments>
</file>

<file path=xl/comments6.xml><?xml version="1.0" encoding="utf-8"?>
<comments xmlns="http://schemas.openxmlformats.org/spreadsheetml/2006/main">
  <authors>
    <author>University Administration</author>
    <author>Rinehart, Suzanne M</author>
    <author>phoey</author>
  </authors>
  <commentList>
    <comment ref="A24" authorId="0" shapeId="0">
      <text>
        <r>
          <rPr>
            <b/>
            <sz val="8"/>
            <color indexed="81"/>
            <rFont val="Tahoma"/>
            <family val="2"/>
          </rPr>
          <t>University Administration:</t>
        </r>
        <r>
          <rPr>
            <sz val="8"/>
            <color indexed="81"/>
            <rFont val="Tahoma"/>
            <family val="2"/>
          </rPr>
          <t xml:space="preserve">
FY14: 
ISAC increment:$1,212.6
(P&amp;B summary)
</t>
        </r>
      </text>
    </comment>
    <comment ref="A25" authorId="0" shapeId="0">
      <text>
        <r>
          <rPr>
            <b/>
            <sz val="8"/>
            <color indexed="81"/>
            <rFont val="Tahoma"/>
            <family val="2"/>
          </rPr>
          <t>University Administration:</t>
        </r>
        <r>
          <rPr>
            <sz val="8"/>
            <color indexed="81"/>
            <rFont val="Tahoma"/>
            <family val="2"/>
          </rPr>
          <t xml:space="preserve">
FY13: 
ISAC increment:$1,852.7
(P&amp;B summary)
</t>
        </r>
      </text>
    </comment>
    <comment ref="A26" authorId="0" shapeId="0">
      <text>
        <r>
          <rPr>
            <b/>
            <sz val="8"/>
            <color indexed="81"/>
            <rFont val="Tahoma"/>
            <family val="2"/>
          </rPr>
          <t>University Administration:</t>
        </r>
        <r>
          <rPr>
            <sz val="8"/>
            <color indexed="81"/>
            <rFont val="Tahoma"/>
            <family val="2"/>
          </rPr>
          <t xml:space="preserve">
FY12: 
ISAC increment:$2,081 (P&amp;B summary)
</t>
        </r>
      </text>
    </comment>
    <comment ref="A27" authorId="0" shapeId="0">
      <text>
        <r>
          <rPr>
            <b/>
            <sz val="8"/>
            <color indexed="81"/>
            <rFont val="Tahoma"/>
            <family val="2"/>
          </rPr>
          <t>University Administration:</t>
        </r>
        <r>
          <rPr>
            <sz val="8"/>
            <color indexed="81"/>
            <rFont val="Tahoma"/>
            <family val="2"/>
          </rPr>
          <t xml:space="preserve">
FY11: 
ISAC increment:$1,475.4(P&amp;B summary)
Potential IVG shortfall of $1,004.1k additional for undergrad. Assumes Fall 2010 is not received.</t>
        </r>
      </text>
    </comment>
    <comment ref="A28" authorId="0" shapeId="0">
      <text>
        <r>
          <rPr>
            <b/>
            <sz val="8"/>
            <color indexed="81"/>
            <rFont val="Tahoma"/>
            <family val="2"/>
          </rPr>
          <t>University Administration:</t>
        </r>
        <r>
          <rPr>
            <sz val="8"/>
            <color indexed="81"/>
            <rFont val="Tahoma"/>
            <family val="2"/>
          </rPr>
          <t xml:space="preserve">
FY10: 
ISAC increment:$1,197(P&amp;B summary)
Potential IVG shortfall of $1,467k additional (see IVG FY10 projection file)</t>
        </r>
      </text>
    </comment>
    <comment ref="A29" authorId="0" shapeId="0">
      <text>
        <r>
          <rPr>
            <b/>
            <sz val="8"/>
            <color indexed="81"/>
            <rFont val="Tahoma"/>
            <family val="2"/>
          </rPr>
          <t>University Administration:</t>
        </r>
        <r>
          <rPr>
            <sz val="8"/>
            <color indexed="81"/>
            <rFont val="Tahoma"/>
            <family val="2"/>
          </rPr>
          <t xml:space="preserve">
FY09: 
ISAC increment:$650.1k (P&amp;B summary)
IVG increment: $527K (difference from FY09 IF Projection &amp; FY08 estimate) of $940k.</t>
        </r>
      </text>
    </comment>
    <comment ref="A30" authorId="0" shapeId="0">
      <text>
        <r>
          <rPr>
            <b/>
            <sz val="8"/>
            <color indexed="81"/>
            <rFont val="Tahoma"/>
            <family val="2"/>
          </rPr>
          <t>University Administration:</t>
        </r>
        <r>
          <rPr>
            <sz val="8"/>
            <color indexed="81"/>
            <rFont val="Tahoma"/>
            <family val="2"/>
          </rPr>
          <t xml:space="preserve">
FY08: 
ISAC increment:$856k
IVG increment: $940k</t>
        </r>
      </text>
    </comment>
    <comment ref="F53" authorId="1" shapeId="0">
      <text>
        <r>
          <rPr>
            <b/>
            <sz val="9"/>
            <color indexed="81"/>
            <rFont val="Tahoma"/>
            <family val="2"/>
          </rPr>
          <t>Rinehart, Suzanne M:</t>
        </r>
        <r>
          <rPr>
            <sz val="9"/>
            <color indexed="81"/>
            <rFont val="Tahoma"/>
            <family val="2"/>
          </rPr>
          <t xml:space="preserve">
correct FY15 computation</t>
        </r>
      </text>
    </comment>
    <comment ref="B54" authorId="1" shapeId="0">
      <text>
        <r>
          <rPr>
            <b/>
            <sz val="9"/>
            <color indexed="81"/>
            <rFont val="Tahoma"/>
            <family val="2"/>
          </rPr>
          <t>Rinehart, Suzanne M:</t>
        </r>
        <r>
          <rPr>
            <sz val="9"/>
            <color indexed="81"/>
            <rFont val="Tahoma"/>
            <family val="2"/>
          </rPr>
          <t xml:space="preserve">
No required formula in FY16
</t>
        </r>
      </text>
    </comment>
    <comment ref="C54" authorId="2" shapeId="0">
      <text>
        <r>
          <rPr>
            <sz val="8"/>
            <color indexed="81"/>
            <rFont val="Tahoma"/>
            <family val="2"/>
          </rPr>
          <t xml:space="preserve">
Total FA set-aside is to be 15% of incremental budgeted differential; Campus FA set-aside is equal to this total less the formula aid set aside.</t>
        </r>
      </text>
    </comment>
    <comment ref="E54" authorId="1" shapeId="0">
      <text>
        <r>
          <rPr>
            <b/>
            <sz val="9"/>
            <color indexed="81"/>
            <rFont val="Tahoma"/>
            <family val="2"/>
          </rPr>
          <t>Rinehart, Suzanne M:</t>
        </r>
        <r>
          <rPr>
            <sz val="9"/>
            <color indexed="81"/>
            <rFont val="Tahoma"/>
            <family val="2"/>
          </rPr>
          <t xml:space="preserve">
budgeted change in IVG shortfall growth</t>
        </r>
      </text>
    </comment>
  </commentList>
</comments>
</file>

<file path=xl/comments7.xml><?xml version="1.0" encoding="utf-8"?>
<comments xmlns="http://schemas.openxmlformats.org/spreadsheetml/2006/main">
  <authors>
    <author>Suzanne Rinehart</author>
    <author>srinehar</author>
    <author>Mike Andrechak</author>
    <author>Office of Business and Financial Services</author>
  </authors>
  <commentList>
    <comment ref="D7" authorId="0" shapeId="0">
      <text>
        <r>
          <rPr>
            <b/>
            <sz val="8"/>
            <color indexed="81"/>
            <rFont val="Tahoma"/>
            <family val="2"/>
          </rPr>
          <t>Suzanne Rinehart:</t>
        </r>
        <r>
          <rPr>
            <sz val="8"/>
            <color indexed="81"/>
            <rFont val="Tahoma"/>
            <family val="2"/>
          </rPr>
          <t xml:space="preserve">
Campus surcharge is calculated as 10% of net base-rate tuition.</t>
        </r>
      </text>
    </comment>
    <comment ref="B11" authorId="0" shapeId="0">
      <text>
        <r>
          <rPr>
            <b/>
            <sz val="8"/>
            <color indexed="81"/>
            <rFont val="Tahoma"/>
            <family val="2"/>
          </rPr>
          <t>Suzanne Rinehart:</t>
        </r>
        <r>
          <rPr>
            <sz val="8"/>
            <color indexed="81"/>
            <rFont val="Tahoma"/>
            <family val="2"/>
          </rPr>
          <t xml:space="preserve">
Excludes Accy MBA, Accy Masters, MSFE</t>
        </r>
      </text>
    </comment>
    <comment ref="C19" authorId="1" shapeId="0">
      <text>
        <r>
          <rPr>
            <b/>
            <sz val="9"/>
            <color indexed="81"/>
            <rFont val="Tahoma"/>
            <family val="2"/>
          </rPr>
          <t>srinehar:</t>
        </r>
        <r>
          <rPr>
            <sz val="9"/>
            <color indexed="81"/>
            <rFont val="Tahoma"/>
            <family val="2"/>
          </rPr>
          <t xml:space="preserve">
Remove MPH and include on Self-Supporting Tab</t>
        </r>
      </text>
    </comment>
    <comment ref="B23" authorId="0" shapeId="0">
      <text>
        <r>
          <rPr>
            <b/>
            <sz val="8"/>
            <color indexed="81"/>
            <rFont val="Tahoma"/>
            <family val="2"/>
          </rPr>
          <t>Suzanne Rinehart:</t>
        </r>
        <r>
          <rPr>
            <sz val="8"/>
            <color indexed="81"/>
            <rFont val="Tahoma"/>
            <family val="2"/>
          </rPr>
          <t xml:space="preserve">
Based on unit's enrollment projections for MHRIR and general grad projection model for the general grad students in LER</t>
        </r>
      </text>
    </comment>
    <comment ref="B24" authorId="0" shapeId="0">
      <text>
        <r>
          <rPr>
            <b/>
            <sz val="8"/>
            <color indexed="81"/>
            <rFont val="Tahoma"/>
            <family val="2"/>
          </rPr>
          <t>Suzanne Rinehart:</t>
        </r>
        <r>
          <rPr>
            <sz val="8"/>
            <color indexed="81"/>
            <rFont val="Tahoma"/>
            <family val="2"/>
          </rPr>
          <t xml:space="preserve">
Based on unit's enrollment projections for MSW and general grad projection model for the general grad students in SW</t>
        </r>
      </text>
    </comment>
    <comment ref="B71" authorId="2" shapeId="0">
      <text>
        <r>
          <rPr>
            <b/>
            <sz val="8"/>
            <color indexed="81"/>
            <rFont val="Tahoma"/>
            <family val="2"/>
          </rPr>
          <t xml:space="preserve">
 These amounts are removed from the CBA line above.
</t>
        </r>
        <r>
          <rPr>
            <sz val="8"/>
            <color indexed="81"/>
            <rFont val="Tahoma"/>
            <family val="2"/>
          </rPr>
          <t xml:space="preserve">
</t>
        </r>
      </text>
    </comment>
    <comment ref="E71" authorId="3" shapeId="0">
      <text>
        <r>
          <rPr>
            <b/>
            <sz val="8"/>
            <color indexed="81"/>
            <rFont val="Tahoma"/>
            <family val="2"/>
          </rPr>
          <t>Office of Business and Financial Services:</t>
        </r>
        <r>
          <rPr>
            <sz val="8"/>
            <color indexed="81"/>
            <rFont val="Tahoma"/>
            <family val="2"/>
          </rPr>
          <t xml:space="preserve">
see mba program worksheet
</t>
        </r>
      </text>
    </comment>
    <comment ref="E77" authorId="3" shapeId="0">
      <text>
        <r>
          <rPr>
            <b/>
            <sz val="8"/>
            <color indexed="81"/>
            <rFont val="Tahoma"/>
            <family val="2"/>
          </rPr>
          <t>Office of Business and Financial Services:</t>
        </r>
        <r>
          <rPr>
            <sz val="8"/>
            <color indexed="81"/>
            <rFont val="Tahoma"/>
            <family val="2"/>
          </rPr>
          <t xml:space="preserve">
Tuition and Enrollment Report: Fall03, 3rd adjustsment. Sum of resident and nonresident tuition assessments less differential
</t>
        </r>
      </text>
    </comment>
    <comment ref="H77" authorId="3" shapeId="0">
      <text>
        <r>
          <rPr>
            <b/>
            <sz val="8"/>
            <color indexed="81"/>
            <rFont val="Tahoma"/>
            <family val="2"/>
          </rPr>
          <t>Office of Business and Financial Services:</t>
        </r>
        <r>
          <rPr>
            <sz val="8"/>
            <color indexed="81"/>
            <rFont val="Tahoma"/>
            <family val="2"/>
          </rPr>
          <t xml:space="preserve">
Tuition and Enrollment Report: Fall03, 3rd adjustsment. Sum of resident and nonresident tuition waiver
</t>
        </r>
      </text>
    </comment>
  </commentList>
</comments>
</file>

<file path=xl/comments8.xml><?xml version="1.0" encoding="utf-8"?>
<comments xmlns="http://schemas.openxmlformats.org/spreadsheetml/2006/main">
  <authors>
    <author>goleynic</author>
    <author>srinehar</author>
    <author>Suzanne Rinehart</author>
  </authors>
  <commentList>
    <comment ref="G17" authorId="0" shapeId="0">
      <text>
        <r>
          <rPr>
            <b/>
            <sz val="9"/>
            <color indexed="81"/>
            <rFont val="Tahoma"/>
            <family val="2"/>
          </rPr>
          <t>goleynic:</t>
        </r>
        <r>
          <rPr>
            <sz val="9"/>
            <color indexed="81"/>
            <rFont val="Tahoma"/>
            <family val="2"/>
          </rPr>
          <t xml:space="preserve">
Moved $16,387.50 for Statistics - move to self-supporting</t>
        </r>
      </text>
    </comment>
    <comment ref="C19" authorId="1" shapeId="0">
      <text>
        <r>
          <rPr>
            <b/>
            <sz val="9"/>
            <color indexed="81"/>
            <rFont val="Tahoma"/>
            <family val="2"/>
          </rPr>
          <t>goleynic:</t>
        </r>
        <r>
          <rPr>
            <sz val="9"/>
            <color indexed="81"/>
            <rFont val="Tahoma"/>
            <family val="2"/>
          </rPr>
          <t xml:space="preserve">
Excluding mph summer moved to self-supporting tab</t>
        </r>
      </text>
    </comment>
    <comment ref="G19" authorId="1" shapeId="0">
      <text>
        <r>
          <rPr>
            <b/>
            <sz val="9"/>
            <color indexed="81"/>
            <rFont val="Tahoma"/>
            <family val="2"/>
          </rPr>
          <t>srinehar:</t>
        </r>
        <r>
          <rPr>
            <sz val="9"/>
            <color indexed="81"/>
            <rFont val="Tahoma"/>
            <family val="2"/>
          </rPr>
          <t xml:space="preserve">
move mph tuition self-supporting tab</t>
        </r>
      </text>
    </comment>
    <comment ref="B23" authorId="2" shapeId="0">
      <text>
        <r>
          <rPr>
            <b/>
            <sz val="8"/>
            <color indexed="81"/>
            <rFont val="Tahoma"/>
            <family val="2"/>
          </rPr>
          <t>Suzanne Rinehart:</t>
        </r>
        <r>
          <rPr>
            <sz val="8"/>
            <color indexed="81"/>
            <rFont val="Tahoma"/>
            <family val="2"/>
          </rPr>
          <t xml:space="preserve">
Based on unit's enrollment projections for MHRIR and general grad projection model for the general grad students in LER</t>
        </r>
      </text>
    </comment>
    <comment ref="C23" authorId="0" shapeId="0">
      <text>
        <r>
          <rPr>
            <b/>
            <sz val="9"/>
            <color indexed="81"/>
            <rFont val="Tahoma"/>
            <family val="2"/>
          </rPr>
          <t>goleynic:</t>
        </r>
        <r>
          <rPr>
            <sz val="9"/>
            <color indexed="81"/>
            <rFont val="Tahoma"/>
            <family val="2"/>
          </rPr>
          <t xml:space="preserve">
$5,142 MHRIR</t>
        </r>
      </text>
    </comment>
    <comment ref="B24" authorId="2" shapeId="0">
      <text>
        <r>
          <rPr>
            <b/>
            <sz val="8"/>
            <color indexed="81"/>
            <rFont val="Tahoma"/>
            <family val="2"/>
          </rPr>
          <t>Suzanne Rinehart:</t>
        </r>
        <r>
          <rPr>
            <sz val="8"/>
            <color indexed="81"/>
            <rFont val="Tahoma"/>
            <family val="2"/>
          </rPr>
          <t xml:space="preserve">
Based on unit's enrollment projections for MSW and general grad projection model for the general grad students in SW</t>
        </r>
      </text>
    </comment>
  </commentList>
</comments>
</file>

<file path=xl/comments9.xml><?xml version="1.0" encoding="utf-8"?>
<comments xmlns="http://schemas.openxmlformats.org/spreadsheetml/2006/main">
  <authors>
    <author>Pat Hoey</author>
    <author>University Administration</author>
    <author>Mike Andrechak</author>
    <author>Office of Business and Financial Services</author>
  </authors>
  <commentList>
    <comment ref="L16" authorId="0" shapeId="0">
      <text>
        <r>
          <rPr>
            <b/>
            <sz val="8"/>
            <color indexed="81"/>
            <rFont val="Tahoma"/>
            <family val="2"/>
          </rPr>
          <t xml:space="preserve">Pat Hoey:
</t>
        </r>
        <r>
          <rPr>
            <sz val="8"/>
            <color indexed="81"/>
            <rFont val="Tahoma"/>
            <family val="2"/>
          </rPr>
          <t>Law grad tuition is LLM program and this is done as part of the professional income distribution, so they do not receive grad distribution.</t>
        </r>
      </text>
    </comment>
    <comment ref="C33" authorId="1" shapeId="0">
      <text>
        <r>
          <rPr>
            <b/>
            <sz val="8"/>
            <color indexed="81"/>
            <rFont val="Tahoma"/>
            <family val="2"/>
          </rPr>
          <t>University Administration:</t>
        </r>
        <r>
          <rPr>
            <sz val="8"/>
            <color indexed="81"/>
            <rFont val="Tahoma"/>
            <family val="2"/>
          </rPr>
          <t xml:space="preserve">
FY09
 Actual Tuition per DMI
</t>
        </r>
      </text>
    </comment>
    <comment ref="C34" authorId="1" shapeId="0">
      <text>
        <r>
          <rPr>
            <b/>
            <sz val="8"/>
            <color indexed="81"/>
            <rFont val="Tahoma"/>
            <family val="2"/>
          </rPr>
          <t>University Administration:</t>
        </r>
        <r>
          <rPr>
            <sz val="8"/>
            <color indexed="81"/>
            <rFont val="Tahoma"/>
            <family val="2"/>
          </rPr>
          <t xml:space="preserve">
FY09
 Actual Tuition per DMI</t>
        </r>
      </text>
    </comment>
    <comment ref="B96" authorId="2" shapeId="0">
      <text>
        <r>
          <rPr>
            <b/>
            <sz val="8"/>
            <color indexed="81"/>
            <rFont val="Tahoma"/>
            <family val="2"/>
          </rPr>
          <t xml:space="preserve">
 These amounts are removed from the CBA line above.
</t>
        </r>
        <r>
          <rPr>
            <sz val="8"/>
            <color indexed="81"/>
            <rFont val="Tahoma"/>
            <family val="2"/>
          </rPr>
          <t xml:space="preserve">
</t>
        </r>
      </text>
    </comment>
    <comment ref="C96" authorId="3" shapeId="0">
      <text>
        <r>
          <rPr>
            <b/>
            <sz val="8"/>
            <color indexed="81"/>
            <rFont val="Tahoma"/>
            <family val="2"/>
          </rPr>
          <t>Office of Business and Financial Services:</t>
        </r>
        <r>
          <rPr>
            <sz val="8"/>
            <color indexed="81"/>
            <rFont val="Tahoma"/>
            <family val="2"/>
          </rPr>
          <t xml:space="preserve">
see mba program worksheet
</t>
        </r>
      </text>
    </comment>
    <comment ref="C102" authorId="3" shapeId="0">
      <text>
        <r>
          <rPr>
            <b/>
            <sz val="8"/>
            <color indexed="81"/>
            <rFont val="Tahoma"/>
            <family val="2"/>
          </rPr>
          <t>Office of Business and Financial Services:</t>
        </r>
        <r>
          <rPr>
            <sz val="8"/>
            <color indexed="81"/>
            <rFont val="Tahoma"/>
            <family val="2"/>
          </rPr>
          <t xml:space="preserve">
Tuition and Enrollment Report: Fall03, 3rd adjustsment. Sum of resident and nonresident tuition assessments less differential
</t>
        </r>
      </text>
    </comment>
    <comment ref="F102" authorId="3" shapeId="0">
      <text>
        <r>
          <rPr>
            <b/>
            <sz val="8"/>
            <color indexed="81"/>
            <rFont val="Tahoma"/>
            <family val="2"/>
          </rPr>
          <t>Office of Business and Financial Services:</t>
        </r>
        <r>
          <rPr>
            <sz val="8"/>
            <color indexed="81"/>
            <rFont val="Tahoma"/>
            <family val="2"/>
          </rPr>
          <t xml:space="preserve">
Tuition and Enrollment Report: Fall03, 3rd adjustsment. Sum of resident and nonresident tuition waiver
</t>
        </r>
      </text>
    </comment>
  </commentList>
</comments>
</file>

<file path=xl/sharedStrings.xml><?xml version="1.0" encoding="utf-8"?>
<sst xmlns="http://schemas.openxmlformats.org/spreadsheetml/2006/main" count="775" uniqueCount="384">
  <si>
    <t>100-200 Level Totals</t>
  </si>
  <si>
    <t>300-400 Level Totals</t>
  </si>
  <si>
    <t>TOTALS</t>
  </si>
  <si>
    <t>Allocation per IU:</t>
  </si>
  <si>
    <t>Per IU</t>
  </si>
  <si>
    <t>Revenue</t>
  </si>
  <si>
    <t xml:space="preserve">Undergrad Tuition Allocation </t>
  </si>
  <si>
    <t>% Change</t>
  </si>
  <si>
    <t>Total Undergrad</t>
  </si>
  <si>
    <t>Tuition</t>
  </si>
  <si>
    <t>Enrollment</t>
  </si>
  <si>
    <t xml:space="preserve">KL - ACES               </t>
  </si>
  <si>
    <t>KM - Business</t>
  </si>
  <si>
    <t>KN - Education</t>
  </si>
  <si>
    <t>KP - Engineering</t>
  </si>
  <si>
    <t>KR - Fine &amp; Applied Arts</t>
  </si>
  <si>
    <t>KT - Media</t>
  </si>
  <si>
    <t>KU - Law</t>
  </si>
  <si>
    <t>KV - LAS</t>
  </si>
  <si>
    <t>KW - General Studies</t>
  </si>
  <si>
    <t>KY - Applied Health Studies</t>
  </si>
  <si>
    <t>LC - Vet Med</t>
  </si>
  <si>
    <t>LD - Armed Forces</t>
  </si>
  <si>
    <t>LE - Aviation</t>
  </si>
  <si>
    <t>LG - Labor &amp; Employment Relations</t>
  </si>
  <si>
    <t>LL - Social Work</t>
  </si>
  <si>
    <t>Net Tuition</t>
  </si>
  <si>
    <t>% of Total</t>
  </si>
  <si>
    <t>% of Inc</t>
  </si>
  <si>
    <t>Unit</t>
  </si>
  <si>
    <t>Summer</t>
  </si>
  <si>
    <t>Less Summer Session Ofc</t>
  </si>
  <si>
    <t>Summer IU</t>
  </si>
  <si>
    <t>(000)</t>
  </si>
  <si>
    <t>The worksheets:</t>
  </si>
  <si>
    <t>Tuition Allocation</t>
  </si>
  <si>
    <t>Adjustment</t>
  </si>
  <si>
    <t>KL</t>
  </si>
  <si>
    <t>KM</t>
  </si>
  <si>
    <t>KN</t>
  </si>
  <si>
    <t>KP</t>
  </si>
  <si>
    <t>KR</t>
  </si>
  <si>
    <t>KV</t>
  </si>
  <si>
    <t>KY</t>
  </si>
  <si>
    <t>LG</t>
  </si>
  <si>
    <t>LL</t>
  </si>
  <si>
    <t>LN</t>
  </si>
  <si>
    <t>LP</t>
  </si>
  <si>
    <t>Fall/Spring</t>
  </si>
  <si>
    <t>2% Contingency</t>
  </si>
  <si>
    <t>Net of Contingency</t>
  </si>
  <si>
    <t>Distribution</t>
  </si>
  <si>
    <t>IU</t>
  </si>
  <si>
    <t>Professional</t>
  </si>
  <si>
    <t>Reductions</t>
  </si>
  <si>
    <t>Professional/Self-Supporting Programs</t>
  </si>
  <si>
    <t>Self-Supporting</t>
  </si>
  <si>
    <t>LN - Continuing Eduction</t>
  </si>
  <si>
    <t>Undergrad Tuition</t>
  </si>
  <si>
    <t>Less: Undergrad Assitants</t>
  </si>
  <si>
    <t>Grad General</t>
  </si>
  <si>
    <t>Other Tuition</t>
  </si>
  <si>
    <t>Teach Ed Allowance</t>
  </si>
  <si>
    <t>Continuing Eduation &amp; Other</t>
  </si>
  <si>
    <t>Net Differential</t>
  </si>
  <si>
    <t>Campus &amp; Fellowship</t>
  </si>
  <si>
    <t>Graduate--Actual Fall 2008 and Spring 2009 Total</t>
  </si>
  <si>
    <t>4/02 Est</t>
  </si>
  <si>
    <t>Program</t>
  </si>
  <si>
    <t>Differentials</t>
  </si>
  <si>
    <t>Waivers</t>
  </si>
  <si>
    <t>Less:</t>
  </si>
  <si>
    <t>FY09</t>
  </si>
  <si>
    <t>Regular</t>
  </si>
  <si>
    <t>Differ-</t>
  </si>
  <si>
    <t>&amp; Regular</t>
  </si>
  <si>
    <t>From</t>
  </si>
  <si>
    <t>Base Rate</t>
  </si>
  <si>
    <t>Total Tuition</t>
  </si>
  <si>
    <t>Net</t>
  </si>
  <si>
    <t xml:space="preserve">Tuition </t>
  </si>
  <si>
    <t>Revised</t>
  </si>
  <si>
    <t>Original</t>
  </si>
  <si>
    <t>Grad</t>
  </si>
  <si>
    <t>College</t>
  </si>
  <si>
    <t>entials</t>
  </si>
  <si>
    <t>Waiver %</t>
  </si>
  <si>
    <t>less Waivers</t>
  </si>
  <si>
    <t>Surcharge</t>
  </si>
  <si>
    <t>Shortfall*</t>
  </si>
  <si>
    <t>AGR, CONSUMER, &amp; ENV</t>
  </si>
  <si>
    <t>BUSINESS</t>
  </si>
  <si>
    <t>EDUCATION</t>
  </si>
  <si>
    <t>ENGINEERING</t>
  </si>
  <si>
    <t>FINE &amp; APPLIED ARTS</t>
  </si>
  <si>
    <t>KT</t>
  </si>
  <si>
    <t>COLLEGE OF MEDIA</t>
  </si>
  <si>
    <t>KU</t>
  </si>
  <si>
    <t>LAW</t>
  </si>
  <si>
    <t>LIBERAL ARTS &amp; SCIEN</t>
  </si>
  <si>
    <t>KW</t>
  </si>
  <si>
    <t>GENERAL STUDIES</t>
  </si>
  <si>
    <t>APPLIED HEALTH SCIENCES</t>
  </si>
  <si>
    <t>LC</t>
  </si>
  <si>
    <t>VETERINARY MEDICINE</t>
  </si>
  <si>
    <t>LD</t>
  </si>
  <si>
    <t>ARMED FORCES</t>
  </si>
  <si>
    <t>LE</t>
  </si>
  <si>
    <t>INSTITUTE OF AVIATIO</t>
  </si>
  <si>
    <t>LABOR &amp; INDUSTRIAL R</t>
  </si>
  <si>
    <t>SCHOOL OF SOCIAL WOR</t>
  </si>
  <si>
    <t>CONTINUING EDUCATION</t>
  </si>
  <si>
    <t>LIBRARY &amp; INFORMATIO</t>
  </si>
  <si>
    <t>TOTAL</t>
  </si>
  <si>
    <t>* Adjustment</t>
  </si>
  <si>
    <t>FY09 Actual</t>
  </si>
  <si>
    <t>Commerce &amp; Business</t>
  </si>
  <si>
    <t xml:space="preserve">    - MBA</t>
  </si>
  <si>
    <t xml:space="preserve">    - Accy Masters</t>
  </si>
  <si>
    <t>FY09 Adjustment</t>
  </si>
  <si>
    <t>Diff</t>
  </si>
  <si>
    <t>Waiver</t>
  </si>
  <si>
    <t>MBA</t>
  </si>
  <si>
    <t>Accty Masters</t>
  </si>
  <si>
    <t>* Estimated Shortfalls as of 4/02</t>
  </si>
  <si>
    <t>Adjusted</t>
  </si>
  <si>
    <t>Total IUs</t>
  </si>
  <si>
    <t>Not Funded</t>
  </si>
  <si>
    <t>FY10 Total</t>
  </si>
  <si>
    <t>Total IU</t>
  </si>
  <si>
    <t>FY10 General Grad projection allocating surcharge based on Net Base Rate Tuition</t>
  </si>
  <si>
    <t>Change</t>
  </si>
  <si>
    <t>Business Programs</t>
  </si>
  <si>
    <t>Accy Post Bac</t>
  </si>
  <si>
    <t>EMBA</t>
  </si>
  <si>
    <t>Net Allocation</t>
  </si>
  <si>
    <t>MS Business</t>
  </si>
  <si>
    <t>Int Accounting</t>
  </si>
  <si>
    <t>Finance</t>
  </si>
  <si>
    <t>Chicago Accy Tax</t>
  </si>
  <si>
    <t>MBA FT</t>
  </si>
  <si>
    <t>MBA PT</t>
  </si>
  <si>
    <t xml:space="preserve"> </t>
  </si>
  <si>
    <t>KS - Grad College</t>
  </si>
  <si>
    <t>Allocation</t>
  </si>
  <si>
    <t>N/A</t>
  </si>
  <si>
    <r>
      <t>Total Tuition.</t>
    </r>
    <r>
      <rPr>
        <sz val="12"/>
        <color indexed="8"/>
        <rFont val="Times New Roman"/>
        <family val="1"/>
      </rPr>
      <t xml:space="preserve">  This table provides a summary of tuition distributions from the previous worksheets in this file.</t>
    </r>
  </si>
  <si>
    <t>5% Admin</t>
  </si>
  <si>
    <r>
      <t>This file contains eleven spreadsheets which are used to determine the distribution of tuition income</t>
    </r>
    <r>
      <rPr>
        <sz val="12"/>
        <rFont val="Times New Roman"/>
        <family val="1"/>
      </rPr>
      <t>.  Use the tabs at the bottom of the page to access the spreadsheets.</t>
    </r>
  </si>
  <si>
    <t>Tuition Shortfalls</t>
  </si>
  <si>
    <t>Deduction</t>
  </si>
  <si>
    <t>10%</t>
  </si>
  <si>
    <t>Shortfall</t>
  </si>
  <si>
    <t xml:space="preserve">Net </t>
  </si>
  <si>
    <t>(10% surcharge on net base-rate tuition)</t>
  </si>
  <si>
    <t>Accy Masters</t>
  </si>
  <si>
    <t>KS - Grad College (PSM)</t>
  </si>
  <si>
    <t>MSFE (50%)</t>
  </si>
  <si>
    <t>Formula Aid</t>
  </si>
  <si>
    <t>Set Aside</t>
  </si>
  <si>
    <t>IVG Shortfall</t>
  </si>
  <si>
    <t>Campus FA</t>
  </si>
  <si>
    <t>Total FA Set</t>
  </si>
  <si>
    <t>Aside</t>
  </si>
  <si>
    <t>Total Deduction</t>
  </si>
  <si>
    <t>International</t>
  </si>
  <si>
    <t>Other Adj.</t>
  </si>
  <si>
    <t>FY12 Allocation</t>
  </si>
  <si>
    <t>Resident</t>
  </si>
  <si>
    <t>Non-Res</t>
  </si>
  <si>
    <t xml:space="preserve">Resident: </t>
  </si>
  <si>
    <t>Non-Resident:</t>
  </si>
  <si>
    <t>Summer Net Base-Rate Tuition</t>
  </si>
  <si>
    <t>Base Rate Amt. to be Distributed</t>
  </si>
  <si>
    <t>Total Summer Distribution</t>
  </si>
  <si>
    <t>Total Differential to be Distributed</t>
  </si>
  <si>
    <t>Differential Net Summer Tuition</t>
  </si>
  <si>
    <t xml:space="preserve">2,500 resident &amp; non-resident </t>
  </si>
  <si>
    <t>FY11 Base Year Allocation</t>
  </si>
  <si>
    <t>FY12 Incremental IU</t>
  </si>
  <si>
    <t>FY12 Budgeted Net Diff</t>
  </si>
  <si>
    <t xml:space="preserve">    Total IU Allocation</t>
  </si>
  <si>
    <t xml:space="preserve">    Total Enrollment Allocation</t>
  </si>
  <si>
    <t>Total Base-rate Tuition Distribution (Fall/Spring)</t>
  </si>
  <si>
    <t>Unit On-Campus Enrollments</t>
  </si>
  <si>
    <r>
      <t>Professional &amp; Self-Supporting.</t>
    </r>
    <r>
      <rPr>
        <sz val="12"/>
        <color indexed="8"/>
        <rFont val="Times New Roman"/>
        <family val="1"/>
      </rPr>
      <t xml:space="preserve">  Estimates of professional, cost recovery, and other self-supporting income are developed based on tuition rates and enrollment projections.  Actual earnings will be compared to projections and budgets will be adjusted during the spring semester.</t>
    </r>
  </si>
  <si>
    <t>15% of Budgeted increase</t>
  </si>
  <si>
    <t>FY13 Incremental IU</t>
  </si>
  <si>
    <t>Allocation per Enrollment</t>
  </si>
  <si>
    <t>Per Enrollee</t>
  </si>
  <si>
    <t>FY12 Incremental Enrollment</t>
  </si>
  <si>
    <t>FY13 Incremental Enrollment</t>
  </si>
  <si>
    <t>Growth</t>
  </si>
  <si>
    <t>Offce of Continuing Education/Other Revenues</t>
  </si>
  <si>
    <t>KY - AHS (MPH)</t>
  </si>
  <si>
    <t>ok</t>
  </si>
  <si>
    <t>FY13 Budgeted Net Diff</t>
  </si>
  <si>
    <t xml:space="preserve"> Instructional Units  (Non-Weighted)</t>
  </si>
  <si>
    <t>FY14 Incremental IU</t>
  </si>
  <si>
    <t>LAS Programs</t>
  </si>
  <si>
    <t>MSPE</t>
  </si>
  <si>
    <t>Statistics</t>
  </si>
  <si>
    <t>KV - LAS (MSPE &amp; Statistics)</t>
  </si>
  <si>
    <t>FY14 Incremental Enrollment</t>
  </si>
  <si>
    <t>FY14 Budgeted Net Diff</t>
  </si>
  <si>
    <t>DISTRIBUTION OF SUMMER TUITION*</t>
  </si>
  <si>
    <t>* FY13 is first year for implementation of per-credit hour assessment model.</t>
  </si>
  <si>
    <t>FY15 Budgeted Net Diff</t>
  </si>
  <si>
    <t>FY15 Incremental IU</t>
  </si>
  <si>
    <t>FY15 Incremental Enrollment</t>
  </si>
  <si>
    <t>MS in Business Administration</t>
  </si>
  <si>
    <t>LN - Center for Innovation in Teaching and Learning</t>
  </si>
  <si>
    <t>CENTER FOR INNOVATION IN TEACHING AND LEARNING</t>
  </si>
  <si>
    <t>FY16 Incremental IU</t>
  </si>
  <si>
    <t>FY16 Incremental Enrollment</t>
  </si>
  <si>
    <t>FY16 Budgeted Net Diff</t>
  </si>
  <si>
    <t>FY17 Incremental IU</t>
  </si>
  <si>
    <t>FY17</t>
  </si>
  <si>
    <t>Projection</t>
  </si>
  <si>
    <t>Diff less Waivers</t>
  </si>
  <si>
    <t>FY17 Budgeted Net Diff</t>
  </si>
  <si>
    <t>Engineering Programs</t>
  </si>
  <si>
    <t>MSFE</t>
  </si>
  <si>
    <t>MEng</t>
  </si>
  <si>
    <t xml:space="preserve">Int Diff Incl </t>
  </si>
  <si>
    <t>Total UG Allocated Tuition</t>
  </si>
  <si>
    <t>Total Grad General Allocated Tuition</t>
  </si>
  <si>
    <t>Total Other Tuition Allocated</t>
  </si>
  <si>
    <t xml:space="preserve">* - Allocated Tuition is the tuition distributed to units through the Budget Reform Model.  Generated Tuition is total tuition based on the home enrollment of the student. </t>
  </si>
  <si>
    <t>Less: ISAC</t>
  </si>
  <si>
    <t>FY18 Allocation IUs (FY17 IU)</t>
  </si>
  <si>
    <t>FY17 Enrollment</t>
  </si>
  <si>
    <t>FY18</t>
  </si>
  <si>
    <t>Total FY18 Allocation</t>
  </si>
  <si>
    <t>FY17 Incremental Enrollment</t>
  </si>
  <si>
    <t>FY18 Incremental Enrollment</t>
  </si>
  <si>
    <t>FY18 Incremental IU</t>
  </si>
  <si>
    <t>FY18 Allocation</t>
  </si>
  <si>
    <t>MCS-DS</t>
  </si>
  <si>
    <t>KP - Engineering (MSFE, Meng, MCS-DS)</t>
  </si>
  <si>
    <t>Experience Fee</t>
  </si>
  <si>
    <t>FY18 Budgeted Net Diff</t>
  </si>
  <si>
    <t>Budgeted FY18 Growth</t>
  </si>
  <si>
    <t>FY18 Adj</t>
  </si>
  <si>
    <t>excluded from distribution</t>
  </si>
  <si>
    <t>statistics included in prof &amp; SS distribution</t>
  </si>
  <si>
    <t>ESL Fee</t>
  </si>
  <si>
    <t>MCB Fee</t>
  </si>
  <si>
    <t>Perm Base</t>
  </si>
  <si>
    <t>iMBA</t>
  </si>
  <si>
    <t>Winter</t>
  </si>
  <si>
    <t>April True-Up</t>
  </si>
  <si>
    <t>Summer True-Up</t>
  </si>
  <si>
    <t>Total perm true-up</t>
  </si>
  <si>
    <t xml:space="preserve">Winter Undergrad Tuition Allocation </t>
  </si>
  <si>
    <t>LN - Continuing Ed</t>
  </si>
  <si>
    <t>Winter IU</t>
  </si>
  <si>
    <t>DISTRIBUTION OF WINTER TUITION</t>
  </si>
  <si>
    <t>Winter FY17</t>
  </si>
  <si>
    <t>Winter Net Base-Rate Tuition</t>
  </si>
  <si>
    <t>Less CITL Expenditures</t>
  </si>
  <si>
    <t>Subtotal</t>
  </si>
  <si>
    <t>Less Winter Session Surcharge 5%</t>
  </si>
  <si>
    <t>Total Winter Distribution</t>
  </si>
  <si>
    <t xml:space="preserve"> FY18 Financial Aid</t>
  </si>
  <si>
    <t xml:space="preserve"> FY17 Financial Aid</t>
  </si>
  <si>
    <t>FY16 Financial Aid</t>
  </si>
  <si>
    <t>FY15 Financial Aid</t>
  </si>
  <si>
    <t>FY14 Financial Aid</t>
  </si>
  <si>
    <t>FY13 Financial Aid</t>
  </si>
  <si>
    <t>FY12 Financial Aid</t>
  </si>
  <si>
    <t>FY11 Financial Aid</t>
  </si>
  <si>
    <t>FY10 Financial Aid</t>
  </si>
  <si>
    <t>FY09 Financial Aid</t>
  </si>
  <si>
    <t>FY08 Financial Aid</t>
  </si>
  <si>
    <t>FY07 Financial Aid</t>
  </si>
  <si>
    <t>FY06 Financial Aid</t>
  </si>
  <si>
    <t>FY05 Financial Aid</t>
  </si>
  <si>
    <t>Cummulative Financial Aid</t>
  </si>
  <si>
    <t>Projected Financial Aid Increment</t>
  </si>
  <si>
    <t>On Campus</t>
  </si>
  <si>
    <t>Differential Net Summer Tuition *</t>
  </si>
  <si>
    <t>Summer Net Base-Rate Tuition *</t>
  </si>
  <si>
    <t>Adjustment made on Total Tuition tab.</t>
  </si>
  <si>
    <t xml:space="preserve">College Specific International Tuition Differential Allocation </t>
  </si>
  <si>
    <t>Total Distributed International Differential</t>
  </si>
  <si>
    <t>LP - School of Information Sciences</t>
  </si>
  <si>
    <t>LP - School of Information Sciences (SIS)</t>
  </si>
  <si>
    <t>SCHOOL OF INFORMATION SCIENCES (SIS)</t>
  </si>
  <si>
    <t>Law 
Library IT</t>
  </si>
  <si>
    <t xml:space="preserve">Undergrad Income.  This worksheet is used to determine how much of projected FY19 undergraduate tuition will be available for distribution on the basis of IUs and on-campus enrollments. </t>
  </si>
  <si>
    <t>Ugrad IU. FY18 IU base allocation is increased/decreased by $110 per IU for growth/declines in IU. The FY19 allocation is based on FY18 (Fall/Spring) IU data, respectively. The IU data can be found on DMI under the Budget Reform section.</t>
  </si>
  <si>
    <t>UG Enrollment. FY18 base-rate allocation is increased/decreased by $2,500 per on-campus enrollee for growth/decline in enrollment.  FY17 enrollment (Fall 2016/Spring 2017) is compared to FY18 enrollment (Fall 2017/Spring 2018).</t>
  </si>
  <si>
    <t>Ugrad Differential. This sheet contains the distribution of differential tuition income.  The estimated differential to be earned by the college in FY19 is used as the amount to be distributed.  The differentials have been reduced by a pro-rated share of the campus's projected ISAC/IVG shortfalls and a 2% contingency is retained by campus.  The projected differential allocations will be adjusted in the spring to reflect actual FY19 differential earnings.</t>
  </si>
  <si>
    <t xml:space="preserve">UG Summer.  Distribute estimated summer 2018 base-rate UG income based on the prior summer IUs (summer 2017). Estimated summer 2018 differential income is allocated directly to units generating differential.  In fall term, summer allocations will be adjusted to reflect actual earnings (base-rate and differential) and actual summer 2018 IU generation.  </t>
  </si>
  <si>
    <t>UG Winter.  Distribute estimated winter 2019 UG income based on the prior winter IUs (winter 2018). In spring term, winter allocations will be adjusted to reflect actual earnings  and actual winter 2019 IU generation.  FY19 is the first year that the Winter tuition is being allocated permanently.  Prior to FY19, it was transferred on a temporary basis.</t>
  </si>
  <si>
    <t>UG International Differential.  The Colleges of Engineering and Business charge an additional International tuition differential to International students in above the general international differential.  The college/program specific international piece (above the general international differential) flows to the college of home enrollment of the student.  Distribute estimated fall 2018 and spring 2019 international differential income. The projected international differential allocations will be adjusted in the spring to reflect actual FY19 international differential earnings.</t>
  </si>
  <si>
    <t>Grad Fall_Spring.  This sheet is used to determine the amount of graduate income received by colleges.  Projected FY18 income is distributed; projected FY19 base and differential tuition is calculated utilizing FY18 actual inflated for FY19 tuition increases.  The value of waivers (based on FY18 waiver %) is then subtracted from assessments, leaving the net or collected tuition.  MBA, Accounting Masters, PSM, and other self-supporting programs are removed from these numbers and are included in the Professional &amp; Self-Supporting sheet.  Actual earnings will be compared to projections and budgets will be adjusted during the spring semester.</t>
  </si>
  <si>
    <t>Grad Summer.  Summer 2018 income is estimated as summer 2017 income inflated by relevant tuition rate increases. Actual earnings will be compared to projections and budgets will be adjusted during the spring semester.</t>
  </si>
  <si>
    <t xml:space="preserve">Continuing Ed.  Extramural/Community Credit, Academic Outreach,  LEEP, GIS, and teacher ed instruction is based on FY19 projections formulated by the units. </t>
  </si>
  <si>
    <t>Tuition Increment. This sheet shows the FY18 original tuition distribution adjusted for permanent FY18 tuition adjustments (true-ups) compared to the FY19 (current year) tuition distribution.</t>
  </si>
  <si>
    <t>DISTRIBUTION OF UNDERGRADUATE TUITION--FY19</t>
  </si>
  <si>
    <t>FY18 IU Distribution</t>
  </si>
  <si>
    <t>FY19 Incremental IU growth at $110 per IU</t>
  </si>
  <si>
    <t>FY18 Enrollment Distribution</t>
  </si>
  <si>
    <t xml:space="preserve">FY19 Incremental Enrollment growth at $2,500 </t>
  </si>
  <si>
    <t>Fall 2017/Spring 2018 Instructional Units</t>
  </si>
  <si>
    <t>(Based on Fiscal Year 2017-18)</t>
  </si>
  <si>
    <t>On-Campus (Traditional) Terms only (Fall/Spring) - FY18 base and $110 per increase/(decrease) in IU</t>
  </si>
  <si>
    <t>FY19 Budget Allocation (000):</t>
  </si>
  <si>
    <t>FY19 Allocation IUs (FY18 IU)</t>
  </si>
  <si>
    <t>FY19 Incremental IU</t>
  </si>
  <si>
    <t>FY19-FY18 Change</t>
  </si>
  <si>
    <t>(Fall 2017/Spring 2018 Average)</t>
  </si>
  <si>
    <t>FY19 tuition adjustment based on change in enrollment ($2,500)</t>
  </si>
  <si>
    <t>FY18 Enrollment</t>
  </si>
  <si>
    <t>FY19 Enrollment Change</t>
  </si>
  <si>
    <t>Total FY19</t>
  </si>
  <si>
    <t>FY19</t>
  </si>
  <si>
    <t>FY19 Alloc</t>
  </si>
  <si>
    <t>FY19 Incremental Enrollment</t>
  </si>
  <si>
    <t xml:space="preserve">Summer 2018 Undergrad Tuition Allocation </t>
  </si>
  <si>
    <t>(Based on Summer 2017 IUs)</t>
  </si>
  <si>
    <t>FY18 Budget Allocation of Base Rate Net Tuition:</t>
  </si>
  <si>
    <t>FY19 Base-Rate</t>
  </si>
  <si>
    <t>FY19 Differential</t>
  </si>
  <si>
    <t>FY19 Summer Allocation</t>
  </si>
  <si>
    <t>FY18 Perm Base</t>
  </si>
  <si>
    <t>FY19 Change</t>
  </si>
  <si>
    <t>Winter FY18</t>
  </si>
  <si>
    <t>Projected Winter FY19</t>
  </si>
  <si>
    <t>FY18 Base-Rate Allocation</t>
  </si>
  <si>
    <t>FY19 Base-Rate Allocation</t>
  </si>
  <si>
    <t>FY19 Projection of Base Rate Net Tuition:</t>
  </si>
  <si>
    <t>(Based on Winter 2018 IUs)</t>
  </si>
  <si>
    <t>FY19 Allocation of Graduate Summer Tuition</t>
  </si>
  <si>
    <t>Summer 2018</t>
  </si>
  <si>
    <t>(Summer 2018 Projection)</t>
  </si>
  <si>
    <t>Projected FY19 (Summer 2018, Fall 2018, Spring 2019)</t>
  </si>
  <si>
    <t>FY19 Tuition Projection</t>
  </si>
  <si>
    <t>FY19 Allocation</t>
  </si>
  <si>
    <t>Projected FY19 Tuition Differential</t>
  </si>
  <si>
    <t>(Fall 2018/Spring 2019)</t>
  </si>
  <si>
    <t>FY19 Projected Differential Tuition</t>
  </si>
  <si>
    <t>FY18 Tuition Differential Increase</t>
  </si>
  <si>
    <t>FY18 Actual</t>
  </si>
  <si>
    <t>FY19 Budget</t>
  </si>
  <si>
    <t>KW- General Studies (Pre-Eng)</t>
  </si>
  <si>
    <t>FY18 Actual International Permanent Base</t>
  </si>
  <si>
    <t>FY19 International Differential</t>
  </si>
  <si>
    <t>FY19 Projected International Differential Tuition</t>
  </si>
  <si>
    <t>Projected FY19 InternationalTuition Differential</t>
  </si>
  <si>
    <t xml:space="preserve">FY19 General Grad projection </t>
  </si>
  <si>
    <t>iMSA</t>
  </si>
  <si>
    <t>MS in Management</t>
  </si>
  <si>
    <t>LT - Carle Illinois Medicine</t>
  </si>
  <si>
    <t>CITL per Credit Hour</t>
  </si>
  <si>
    <t>Contract Course</t>
  </si>
  <si>
    <t>CITL $50 fee</t>
  </si>
  <si>
    <t>Total Per Credit Hour</t>
  </si>
  <si>
    <t>FY19 Projections</t>
  </si>
  <si>
    <t>FY19 Projection</t>
  </si>
  <si>
    <t>FY18 Distribution including Permanent true-up adjustments booked in FY18</t>
  </si>
  <si>
    <t>FY18 Total Perm Base Tuition</t>
  </si>
  <si>
    <t>FY18 Perm Adjustments</t>
  </si>
  <si>
    <t>Summer 2017 True Up</t>
  </si>
  <si>
    <t>Final
 FY18 Base</t>
  </si>
  <si>
    <t xml:space="preserve"> FY19 Financial Aid</t>
  </si>
  <si>
    <t>FY19 Budgeted Net Diff</t>
  </si>
  <si>
    <t>Distribution of Tuition Income 6/13/18</t>
  </si>
  <si>
    <t>Total FY19 Allocation</t>
  </si>
  <si>
    <t>$110 FY19 Incremental Allocation</t>
  </si>
  <si>
    <t>(Fiscal Year 2018-19)</t>
  </si>
  <si>
    <t>Instructional Design MasterTrack</t>
  </si>
  <si>
    <t>Education Programs</t>
  </si>
  <si>
    <t>KN - Education (Master Track)</t>
  </si>
  <si>
    <t>LT -Carle Illinois Medicine</t>
  </si>
  <si>
    <t>FY19 Total Allocated* Tuition</t>
  </si>
  <si>
    <t>* - Summer Net Tuition (both Base and Differential) is projected by assuming stable enrollment as the prevous summer and inflating by the tuition increase for FY19.</t>
  </si>
  <si>
    <t>KM - Geis College of Business</t>
  </si>
  <si>
    <t>FY19  Change</t>
  </si>
  <si>
    <t>GEIS COLLEGE OF BUSINESS</t>
  </si>
  <si>
    <t>KM - Geis College of Business (see programs below)</t>
  </si>
  <si>
    <t>FY19 Tuition Increment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</si>
</sst>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dd/yy"/>
    <numFmt numFmtId="166" formatCode="0.0%"/>
    <numFmt numFmtId="167" formatCode="_(&quot;$&quot;* #,##0_);_(&quot;$&quot;* \(#,##0\);_(&quot;$&quot;* &quot;-&quot;??_);_(@_)"/>
    <numFmt numFmtId="168" formatCode="_(&quot;$&quot;* #,##0.0_);_(&quot;$&quot;* \(#,##0.0\);_(&quot;$&quot;* &quot;-&quot;??_);_(@_)"/>
    <numFmt numFmtId="170" formatCode="_(* #,##0.0_);_(* \(#,##0.0\);_(* &quot;-&quot;??_);_(@_)"/>
    <numFmt numFmtId="171" formatCode="_(* #,##0.000_);_(* \(#,##0.000\);_(* &quot;-&quot;??_);_(@_)"/>
    <numFmt numFmtId="174" formatCode="_(* #,##0.0_);_(* \(#,##0.0\);_(* &quot;-&quot;?_);_(@_)"/>
    <numFmt numFmtId="177" formatCode="d\-mmm\-yyyy"/>
    <numFmt numFmtId="180" formatCode="0.000%"/>
  </numFmts>
  <fonts count="91">
    <font>
      <sz val="11"/>
      <color theme="1"/>
      <name val="Calibri"/>
      <family val="2"/>
      <scheme val="minor"/>
    </font>
    <font>
      <sz val="10"/>
      <name val="Arial"/>
      <family val="2"/>
    </font>
    <font>
      <b/>
      <sz val="9"/>
      <name val="Arial"/>
      <family val="2"/>
    </font>
    <font>
      <sz val="9"/>
      <name val="Arial"/>
      <family val="2"/>
    </font>
    <font>
      <i/>
      <sz val="9"/>
      <name val="Arial"/>
      <family val="2"/>
    </font>
    <font>
      <b/>
      <sz val="8"/>
      <color indexed="81"/>
      <name val="Tahoma"/>
      <family val="2"/>
    </font>
    <font>
      <sz val="8"/>
      <color indexed="81"/>
      <name val="Tahoma"/>
      <family val="2"/>
    </font>
    <font>
      <b/>
      <sz val="10"/>
      <name val="Arial"/>
      <family val="2"/>
    </font>
    <font>
      <b/>
      <sz val="12"/>
      <name val="Arial"/>
      <family val="2"/>
    </font>
    <font>
      <sz val="12"/>
      <name val="Arial"/>
      <family val="2"/>
    </font>
    <font>
      <b/>
      <sz val="8"/>
      <name val="Arial"/>
      <family val="2"/>
    </font>
    <font>
      <sz val="8"/>
      <name val="Arial"/>
      <family val="2"/>
    </font>
    <font>
      <b/>
      <u/>
      <sz val="9"/>
      <name val="Ariala"/>
    </font>
    <font>
      <sz val="9"/>
      <name val="Ariala"/>
    </font>
    <font>
      <b/>
      <sz val="9"/>
      <name val="Ariala"/>
    </font>
    <font>
      <u val="singleAccounting"/>
      <sz val="10"/>
      <name val="Arial"/>
      <family val="2"/>
    </font>
    <font>
      <b/>
      <i/>
      <sz val="9"/>
      <name val="Arial"/>
      <family val="2"/>
    </font>
    <font>
      <sz val="10"/>
      <color indexed="8"/>
      <name val="Arial"/>
      <family val="2"/>
    </font>
    <font>
      <sz val="10"/>
      <name val="Arial"/>
      <family val="2"/>
    </font>
    <font>
      <b/>
      <sz val="14"/>
      <name val="Arial"/>
      <family val="2"/>
    </font>
    <font>
      <sz val="8"/>
      <color indexed="8"/>
      <name val="Arial"/>
      <family val="2"/>
    </font>
    <font>
      <b/>
      <u/>
      <sz val="10"/>
      <name val="Arial"/>
      <family val="2"/>
    </font>
    <font>
      <b/>
      <u val="singleAccounting"/>
      <sz val="10"/>
      <name val="Arial"/>
      <family val="2"/>
    </font>
    <font>
      <u/>
      <sz val="10"/>
      <name val="Arial"/>
      <family val="2"/>
    </font>
    <font>
      <sz val="10"/>
      <color indexed="10"/>
      <name val="Arial"/>
      <family val="2"/>
    </font>
    <font>
      <sz val="9"/>
      <color indexed="8"/>
      <name val="Arial"/>
      <family val="2"/>
    </font>
    <font>
      <b/>
      <u val="singleAccounting"/>
      <sz val="9"/>
      <name val="Arial"/>
      <family val="2"/>
    </font>
    <font>
      <sz val="10"/>
      <name val="Arial"/>
      <family val="2"/>
    </font>
    <font>
      <b/>
      <sz val="12"/>
      <name val="Times New Roman"/>
      <family val="1"/>
    </font>
    <font>
      <sz val="12"/>
      <name val="Times New Roman"/>
      <family val="1"/>
    </font>
    <font>
      <sz val="12"/>
      <color indexed="8"/>
      <name val="Times New Roman"/>
      <family val="1"/>
    </font>
    <font>
      <b/>
      <sz val="18"/>
      <name val="Arial"/>
      <family val="2"/>
    </font>
    <font>
      <sz val="8"/>
      <name val="Ariala"/>
    </font>
    <font>
      <sz val="9"/>
      <color indexed="81"/>
      <name val="Tahoma"/>
      <family val="2"/>
    </font>
    <font>
      <b/>
      <sz val="9"/>
      <color indexed="81"/>
      <name val="Tahoma"/>
      <family val="2"/>
    </font>
    <font>
      <sz val="9"/>
      <color indexed="81"/>
      <name val="Tahoma"/>
      <family val="2"/>
    </font>
    <font>
      <b/>
      <sz val="9"/>
      <color indexed="81"/>
      <name val="Tahoma"/>
      <family val="2"/>
    </font>
    <font>
      <sz val="10"/>
      <name val="Arial"/>
      <family val="2"/>
    </font>
    <font>
      <sz val="9"/>
      <color indexed="81"/>
      <name val="Tahoma"/>
      <family val="2"/>
    </font>
    <font>
      <b/>
      <sz val="9"/>
      <color indexed="81"/>
      <name val="Tahoma"/>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b/>
      <sz val="10"/>
      <color indexed="8"/>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0"/>
      <color indexed="8"/>
      <name val="Calibri"/>
      <family val="2"/>
    </font>
    <font>
      <sz val="10"/>
      <color indexed="10"/>
      <name val="Calibri"/>
      <family val="2"/>
    </font>
    <font>
      <sz val="10"/>
      <name val="Times New Roman"/>
      <family val="1"/>
    </font>
    <font>
      <sz val="10"/>
      <name val="Arial"/>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0"/>
      <color theme="1"/>
      <name val="Arial"/>
      <family val="2"/>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9"/>
      <color theme="1"/>
      <name val="Ariala"/>
    </font>
    <font>
      <b/>
      <sz val="9"/>
      <color theme="1"/>
      <name val="Ariala"/>
    </font>
    <font>
      <sz val="10"/>
      <color theme="1"/>
      <name val="Calibri"/>
      <family val="2"/>
      <scheme val="minor"/>
    </font>
    <font>
      <sz val="9"/>
      <color theme="1"/>
      <name val="Arial"/>
      <family val="2"/>
    </font>
    <font>
      <b/>
      <sz val="9"/>
      <color rgb="FFFF0000"/>
      <name val="Arial"/>
      <family val="2"/>
    </font>
    <font>
      <sz val="9"/>
      <color rgb="FFFF0000"/>
      <name val="Arial"/>
      <family val="2"/>
    </font>
    <font>
      <b/>
      <sz val="10"/>
      <color theme="1"/>
      <name val="Arial"/>
      <family val="2"/>
    </font>
    <font>
      <sz val="9"/>
      <color theme="0"/>
      <name val="Arial"/>
      <family val="2"/>
    </font>
  </fonts>
  <fills count="6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00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4" tint="0.59999389629810485"/>
        <bgColor indexed="64"/>
      </patternFill>
    </fill>
    <fill>
      <patternFill patternType="solid">
        <fgColor rgb="FF00B0F0"/>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11">
    <xf numFmtId="0" fontId="0" fillId="0" borderId="0"/>
    <xf numFmtId="0" fontId="62" fillId="26"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2" fillId="33" borderId="0" applyNumberFormat="0" applyBorder="0" applyAlignment="0" applyProtection="0"/>
    <xf numFmtId="0" fontId="62" fillId="33" borderId="0" applyNumberFormat="0" applyBorder="0" applyAlignment="0" applyProtection="0"/>
    <xf numFmtId="0" fontId="62" fillId="33" borderId="0" applyNumberFormat="0" applyBorder="0" applyAlignment="0" applyProtection="0"/>
    <xf numFmtId="0" fontId="62" fillId="34"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6"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3" fillId="38"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63" fillId="3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63" fillId="4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63" fillId="41"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63" fillId="42"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63" fillId="43"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63" fillId="44"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63" fillId="45"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63" fillId="46"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63" fillId="47"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63" fillId="48"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63" fillId="4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64" fillId="50"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65" fillId="51" borderId="29"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66" fillId="52" borderId="30" applyNumberFormat="0" applyAlignment="0" applyProtection="0"/>
    <xf numFmtId="0" fontId="49" fillId="21" borderId="2" applyNumberFormat="0" applyAlignment="0" applyProtection="0"/>
    <xf numFmtId="0" fontId="49" fillId="21" borderId="2" applyNumberFormat="0" applyAlignment="0" applyProtection="0"/>
    <xf numFmtId="0" fontId="49" fillId="21" borderId="2" applyNumberFormat="0" applyAlignment="0" applyProtection="0"/>
    <xf numFmtId="0" fontId="49" fillId="21" borderId="2" applyNumberFormat="0" applyAlignment="0" applyProtection="0"/>
    <xf numFmtId="0" fontId="49" fillId="21" borderId="2" applyNumberFormat="0" applyAlignment="0" applyProtection="0"/>
    <xf numFmtId="0" fontId="49" fillId="21" borderId="2" applyNumberFormat="0" applyAlignment="0" applyProtection="0"/>
    <xf numFmtId="0" fontId="49" fillId="21" borderId="2" applyNumberFormat="0" applyAlignment="0" applyProtection="0"/>
    <xf numFmtId="0" fontId="49" fillId="21" borderId="2" applyNumberFormat="0" applyAlignment="0" applyProtection="0"/>
    <xf numFmtId="0" fontId="49" fillId="21" borderId="2" applyNumberFormat="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2" fontId="17" fillId="0" borderId="0"/>
    <xf numFmtId="44" fontId="6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0" fontId="6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9" fillId="5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70" fillId="0" borderId="31"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71" fillId="0" borderId="32"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72" fillId="0" borderId="33"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7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5" fillId="54" borderId="29" applyNumberFormat="0" applyAlignment="0" applyProtection="0"/>
    <xf numFmtId="0" fontId="52" fillId="7" borderId="1" applyNumberFormat="0" applyAlignment="0" applyProtection="0"/>
    <xf numFmtId="0" fontId="52" fillId="7" borderId="1" applyNumberFormat="0" applyAlignment="0" applyProtection="0"/>
    <xf numFmtId="0" fontId="52" fillId="7" borderId="1" applyNumberFormat="0" applyAlignment="0" applyProtection="0"/>
    <xf numFmtId="0" fontId="52" fillId="7" borderId="1" applyNumberFormat="0" applyAlignment="0" applyProtection="0"/>
    <xf numFmtId="0" fontId="52" fillId="7" borderId="1" applyNumberFormat="0" applyAlignment="0" applyProtection="0"/>
    <xf numFmtId="0" fontId="52" fillId="7" borderId="1" applyNumberFormat="0" applyAlignment="0" applyProtection="0"/>
    <xf numFmtId="0" fontId="52" fillId="7" borderId="1" applyNumberFormat="0" applyAlignment="0" applyProtection="0"/>
    <xf numFmtId="0" fontId="52" fillId="7" borderId="1" applyNumberFormat="0" applyAlignment="0" applyProtection="0"/>
    <xf numFmtId="0" fontId="52" fillId="7" borderId="1" applyNumberFormat="0" applyAlignment="0" applyProtection="0"/>
    <xf numFmtId="0" fontId="76" fillId="0" borderId="34"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77" fillId="55"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37" fontId="9" fillId="0" borderId="0"/>
    <xf numFmtId="37" fontId="9"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9" fillId="0" borderId="0"/>
    <xf numFmtId="0" fontId="1" fillId="0" borderId="0"/>
    <xf numFmtId="37" fontId="9" fillId="0" borderId="0"/>
    <xf numFmtId="37" fontId="9" fillId="0" borderId="0"/>
    <xf numFmtId="0" fontId="1" fillId="0" borderId="0"/>
    <xf numFmtId="0" fontId="1" fillId="0" borderId="0"/>
    <xf numFmtId="37" fontId="9" fillId="0" borderId="0"/>
    <xf numFmtId="0" fontId="1" fillId="0" borderId="0"/>
    <xf numFmtId="37" fontId="9" fillId="0" borderId="0"/>
    <xf numFmtId="37" fontId="9" fillId="0" borderId="0"/>
    <xf numFmtId="37" fontId="9" fillId="0" borderId="0"/>
    <xf numFmtId="0" fontId="1" fillId="0" borderId="0"/>
    <xf numFmtId="0" fontId="62" fillId="0" borderId="0"/>
    <xf numFmtId="0" fontId="1" fillId="0" borderId="0"/>
    <xf numFmtId="0" fontId="1" fillId="0" borderId="0"/>
    <xf numFmtId="0" fontId="62" fillId="0" borderId="0"/>
    <xf numFmtId="0" fontId="62" fillId="0" borderId="0"/>
    <xf numFmtId="0" fontId="58" fillId="0" borderId="0"/>
    <xf numFmtId="0" fontId="17" fillId="0" borderId="0"/>
    <xf numFmtId="0" fontId="1" fillId="0" borderId="0"/>
    <xf numFmtId="0" fontId="59" fillId="0" borderId="0"/>
    <xf numFmtId="0" fontId="1" fillId="0" borderId="0"/>
    <xf numFmtId="0" fontId="1" fillId="0" borderId="0"/>
    <xf numFmtId="0" fontId="1" fillId="0" borderId="0"/>
    <xf numFmtId="0" fontId="37" fillId="0" borderId="0"/>
    <xf numFmtId="0" fontId="1" fillId="0" borderId="0"/>
    <xf numFmtId="37" fontId="9" fillId="0" borderId="0"/>
    <xf numFmtId="37" fontId="9" fillId="0" borderId="0"/>
    <xf numFmtId="0" fontId="67" fillId="0" borderId="0"/>
    <xf numFmtId="0" fontId="67" fillId="0" borderId="0"/>
    <xf numFmtId="0" fontId="62" fillId="0" borderId="0"/>
    <xf numFmtId="0" fontId="62" fillId="0" borderId="0"/>
    <xf numFmtId="0" fontId="1" fillId="0" borderId="0"/>
    <xf numFmtId="0" fontId="1" fillId="0" borderId="0"/>
    <xf numFmtId="0" fontId="1" fillId="0" borderId="0"/>
    <xf numFmtId="37" fontId="9" fillId="0" borderId="0"/>
    <xf numFmtId="0" fontId="18" fillId="0" borderId="0"/>
    <xf numFmtId="0" fontId="1" fillId="0" borderId="0"/>
    <xf numFmtId="0" fontId="1" fillId="0" borderId="0"/>
    <xf numFmtId="37" fontId="9" fillId="0" borderId="0"/>
    <xf numFmtId="0" fontId="1" fillId="0" borderId="0"/>
    <xf numFmtId="0" fontId="1" fillId="0" borderId="0"/>
    <xf numFmtId="37" fontId="9" fillId="0" borderId="0"/>
    <xf numFmtId="0" fontId="1" fillId="0" borderId="0"/>
    <xf numFmtId="0" fontId="1" fillId="0" borderId="0"/>
    <xf numFmtId="0" fontId="1" fillId="0" borderId="0"/>
    <xf numFmtId="0" fontId="1" fillId="0" borderId="0"/>
    <xf numFmtId="37" fontId="9" fillId="0" borderId="0"/>
    <xf numFmtId="0" fontId="27" fillId="0" borderId="0"/>
    <xf numFmtId="0" fontId="1" fillId="0" borderId="0"/>
    <xf numFmtId="0" fontId="1" fillId="0" borderId="0"/>
    <xf numFmtId="37" fontId="9" fillId="0" borderId="0"/>
    <xf numFmtId="37" fontId="9" fillId="0" borderId="0"/>
    <xf numFmtId="0" fontId="1" fillId="0" borderId="0"/>
    <xf numFmtId="0" fontId="1" fillId="0" borderId="0"/>
    <xf numFmtId="0" fontId="1" fillId="0" borderId="0"/>
    <xf numFmtId="0" fontId="1" fillId="0" borderId="0"/>
    <xf numFmtId="37" fontId="9" fillId="0" borderId="0"/>
    <xf numFmtId="0" fontId="1" fillId="0" borderId="0"/>
    <xf numFmtId="0" fontId="62" fillId="0" borderId="0"/>
    <xf numFmtId="0" fontId="62" fillId="0" borderId="0"/>
    <xf numFmtId="0" fontId="1" fillId="0" borderId="0"/>
    <xf numFmtId="0" fontId="1" fillId="0" borderId="0"/>
    <xf numFmtId="37" fontId="9" fillId="0" borderId="0"/>
    <xf numFmtId="37" fontId="9" fillId="0" borderId="0"/>
    <xf numFmtId="0" fontId="1" fillId="0" borderId="0"/>
    <xf numFmtId="37" fontId="9" fillId="0" borderId="0"/>
    <xf numFmtId="37" fontId="9" fillId="0" borderId="0"/>
    <xf numFmtId="37" fontId="9" fillId="0" borderId="0"/>
    <xf numFmtId="0" fontId="1" fillId="0" borderId="0"/>
    <xf numFmtId="37" fontId="9" fillId="0" borderId="0"/>
    <xf numFmtId="0" fontId="62" fillId="56" borderId="35" applyNumberFormat="0" applyFont="0" applyAlignment="0" applyProtection="0"/>
    <xf numFmtId="0" fontId="44" fillId="23" borderId="7" applyNumberFormat="0" applyFont="0" applyAlignment="0" applyProtection="0"/>
    <xf numFmtId="0" fontId="44" fillId="23" borderId="7" applyNumberFormat="0" applyFont="0" applyAlignment="0" applyProtection="0"/>
    <xf numFmtId="0" fontId="62" fillId="56" borderId="35" applyNumberFormat="0" applyFont="0" applyAlignment="0" applyProtection="0"/>
    <xf numFmtId="0" fontId="44" fillId="23" borderId="7" applyNumberFormat="0" applyFont="0" applyAlignment="0" applyProtection="0"/>
    <xf numFmtId="0" fontId="62" fillId="56" borderId="35" applyNumberFormat="0" applyFont="0" applyAlignment="0" applyProtection="0"/>
    <xf numFmtId="0" fontId="62" fillId="56" borderId="35" applyNumberFormat="0" applyFont="0" applyAlignment="0" applyProtection="0"/>
    <xf numFmtId="0" fontId="62" fillId="56" borderId="35" applyNumberFormat="0" applyFont="0" applyAlignment="0" applyProtection="0"/>
    <xf numFmtId="0" fontId="44" fillId="23" borderId="7" applyNumberFormat="0" applyFont="0" applyAlignment="0" applyProtection="0"/>
    <xf numFmtId="0" fontId="44" fillId="23" borderId="7" applyNumberFormat="0" applyFont="0" applyAlignment="0" applyProtection="0"/>
    <xf numFmtId="0" fontId="62" fillId="56" borderId="35" applyNumberFormat="0" applyFont="0" applyAlignment="0" applyProtection="0"/>
    <xf numFmtId="0" fontId="44" fillId="23" borderId="7" applyNumberFormat="0" applyFont="0" applyAlignment="0" applyProtection="0"/>
    <xf numFmtId="0" fontId="44" fillId="23" borderId="7" applyNumberFormat="0" applyFont="0" applyAlignment="0" applyProtection="0"/>
    <xf numFmtId="0" fontId="62" fillId="56" borderId="35" applyNumberFormat="0" applyFont="0" applyAlignment="0" applyProtection="0"/>
    <xf numFmtId="0" fontId="44" fillId="23" borderId="7" applyNumberFormat="0" applyFont="0" applyAlignment="0" applyProtection="0"/>
    <xf numFmtId="0" fontId="44" fillId="23" borderId="7" applyNumberFormat="0" applyFont="0" applyAlignment="0" applyProtection="0"/>
    <xf numFmtId="0" fontId="44" fillId="23" borderId="7" applyNumberFormat="0" applyFont="0" applyAlignment="0" applyProtection="0"/>
    <xf numFmtId="0" fontId="62" fillId="56" borderId="35" applyNumberFormat="0" applyFont="0" applyAlignment="0" applyProtection="0"/>
    <xf numFmtId="0" fontId="62" fillId="56" borderId="35" applyNumberFormat="0" applyFont="0" applyAlignment="0" applyProtection="0"/>
    <xf numFmtId="0" fontId="62" fillId="56" borderId="35" applyNumberFormat="0" applyFont="0" applyAlignment="0" applyProtection="0"/>
    <xf numFmtId="0" fontId="62" fillId="56" borderId="35" applyNumberFormat="0" applyFont="0" applyAlignment="0" applyProtection="0"/>
    <xf numFmtId="0" fontId="78" fillId="51" borderId="36" applyNumberFormat="0" applyAlignment="0" applyProtection="0"/>
    <xf numFmtId="0" fontId="55" fillId="20" borderId="8" applyNumberFormat="0" applyAlignment="0" applyProtection="0"/>
    <xf numFmtId="0" fontId="55" fillId="20" borderId="8" applyNumberFormat="0" applyAlignment="0" applyProtection="0"/>
    <xf numFmtId="0" fontId="55" fillId="20" borderId="8" applyNumberFormat="0" applyAlignment="0" applyProtection="0"/>
    <xf numFmtId="0" fontId="55" fillId="20" borderId="8" applyNumberFormat="0" applyAlignment="0" applyProtection="0"/>
    <xf numFmtId="0" fontId="55" fillId="20" borderId="8" applyNumberFormat="0" applyAlignment="0" applyProtection="0"/>
    <xf numFmtId="0" fontId="55" fillId="20" borderId="8" applyNumberFormat="0" applyAlignment="0" applyProtection="0"/>
    <xf numFmtId="0" fontId="55" fillId="20" borderId="8" applyNumberFormat="0" applyAlignment="0" applyProtection="0"/>
    <xf numFmtId="0" fontId="55" fillId="20" borderId="8" applyNumberFormat="0" applyAlignment="0" applyProtection="0"/>
    <xf numFmtId="0" fontId="55" fillId="20" borderId="8" applyNumberFormat="0" applyAlignment="0" applyProtection="0"/>
    <xf numFmtId="9" fontId="6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37"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8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cellStyleXfs>
  <cellXfs count="637">
    <xf numFmtId="0" fontId="0" fillId="0" borderId="0" xfId="0"/>
    <xf numFmtId="164" fontId="2" fillId="0" borderId="0" xfId="312" applyNumberFormat="1" applyFont="1"/>
    <xf numFmtId="164" fontId="3" fillId="0" borderId="0" xfId="312" applyNumberFormat="1" applyFont="1"/>
    <xf numFmtId="164" fontId="2" fillId="57" borderId="0" xfId="312" applyNumberFormat="1" applyFont="1" applyFill="1"/>
    <xf numFmtId="164" fontId="3" fillId="0" borderId="10" xfId="312" applyNumberFormat="1" applyFont="1" applyBorder="1"/>
    <xf numFmtId="41" fontId="3" fillId="0" borderId="0" xfId="312" applyNumberFormat="1" applyFont="1" applyFill="1" applyBorder="1"/>
    <xf numFmtId="164" fontId="3" fillId="0" borderId="0" xfId="312" applyNumberFormat="1" applyFont="1" applyFill="1" applyBorder="1"/>
    <xf numFmtId="164" fontId="3" fillId="0" borderId="0" xfId="312" applyNumberFormat="1" applyFont="1" applyBorder="1"/>
    <xf numFmtId="164" fontId="3" fillId="0" borderId="11" xfId="312" applyNumberFormat="1" applyFont="1" applyBorder="1"/>
    <xf numFmtId="9" fontId="3" fillId="0" borderId="0" xfId="562" applyFont="1"/>
    <xf numFmtId="164" fontId="2" fillId="0" borderId="11" xfId="312" applyNumberFormat="1" applyFont="1" applyBorder="1" applyAlignment="1">
      <alignment horizontal="left"/>
    </xf>
    <xf numFmtId="164" fontId="2" fillId="0" borderId="11" xfId="312" applyNumberFormat="1" applyFont="1" applyBorder="1" applyAlignment="1">
      <alignment horizontal="center"/>
    </xf>
    <xf numFmtId="164" fontId="3" fillId="0" borderId="0" xfId="312" applyNumberFormat="1" applyFont="1" applyAlignment="1">
      <alignment horizontal="left"/>
    </xf>
    <xf numFmtId="0" fontId="1" fillId="0" borderId="0" xfId="458" applyFont="1"/>
    <xf numFmtId="0" fontId="7" fillId="0" borderId="0" xfId="458" applyFont="1" applyAlignment="1">
      <alignment horizontal="center"/>
    </xf>
    <xf numFmtId="0" fontId="1" fillId="0" borderId="0" xfId="458" applyFont="1" applyFill="1" applyBorder="1"/>
    <xf numFmtId="0" fontId="8" fillId="0" borderId="0" xfId="458" applyFont="1" applyAlignment="1">
      <alignment horizontal="center"/>
    </xf>
    <xf numFmtId="0" fontId="9" fillId="0" borderId="0" xfId="458" applyFont="1" applyFill="1" applyBorder="1"/>
    <xf numFmtId="0" fontId="9" fillId="0" borderId="0" xfId="458" applyFont="1"/>
    <xf numFmtId="0" fontId="11" fillId="0" borderId="0" xfId="458" applyFont="1" applyFill="1" applyBorder="1"/>
    <xf numFmtId="0" fontId="11" fillId="0" borderId="0" xfId="458" applyFont="1"/>
    <xf numFmtId="164" fontId="11" fillId="0" borderId="0" xfId="312" applyNumberFormat="1" applyFont="1"/>
    <xf numFmtId="164" fontId="11" fillId="0" borderId="0" xfId="458" applyNumberFormat="1" applyFont="1"/>
    <xf numFmtId="0" fontId="3" fillId="0" borderId="0" xfId="458" applyFont="1"/>
    <xf numFmtId="0" fontId="3" fillId="0" borderId="0" xfId="458" applyFont="1" applyFill="1" applyBorder="1"/>
    <xf numFmtId="0" fontId="2" fillId="0" borderId="0" xfId="458" applyFont="1"/>
    <xf numFmtId="43" fontId="3" fillId="0" borderId="0" xfId="312" applyFont="1"/>
    <xf numFmtId="164" fontId="3" fillId="0" borderId="0" xfId="458" applyNumberFormat="1" applyFont="1"/>
    <xf numFmtId="164" fontId="3" fillId="0" borderId="0" xfId="458" applyNumberFormat="1" applyFont="1" applyBorder="1"/>
    <xf numFmtId="167" fontId="2" fillId="0" borderId="0" xfId="343" applyNumberFormat="1" applyFont="1"/>
    <xf numFmtId="164" fontId="3" fillId="0" borderId="0" xfId="458" applyNumberFormat="1" applyFont="1" applyFill="1" applyBorder="1"/>
    <xf numFmtId="44" fontId="3" fillId="0" borderId="0" xfId="343" applyFont="1" applyFill="1" applyBorder="1"/>
    <xf numFmtId="164" fontId="3" fillId="0" borderId="12" xfId="312" applyNumberFormat="1" applyFont="1" applyBorder="1"/>
    <xf numFmtId="164" fontId="3" fillId="0" borderId="13" xfId="312" applyNumberFormat="1" applyFont="1" applyBorder="1"/>
    <xf numFmtId="164" fontId="3" fillId="0" borderId="14" xfId="312" applyNumberFormat="1" applyFont="1" applyBorder="1"/>
    <xf numFmtId="164" fontId="3" fillId="0" borderId="15" xfId="312" applyNumberFormat="1" applyFont="1" applyBorder="1"/>
    <xf numFmtId="164" fontId="3" fillId="0" borderId="16" xfId="312" applyNumberFormat="1" applyFont="1" applyBorder="1"/>
    <xf numFmtId="164" fontId="2" fillId="24" borderId="15" xfId="312" applyNumberFormat="1" applyFont="1" applyFill="1" applyBorder="1"/>
    <xf numFmtId="164" fontId="2" fillId="24" borderId="11" xfId="312" applyNumberFormat="1" applyFont="1" applyFill="1" applyBorder="1"/>
    <xf numFmtId="164" fontId="2" fillId="24" borderId="17" xfId="312" applyNumberFormat="1" applyFont="1" applyFill="1" applyBorder="1" applyAlignment="1">
      <alignment horizontal="center" wrapText="1"/>
    </xf>
    <xf numFmtId="164" fontId="2" fillId="24" borderId="18" xfId="312" applyNumberFormat="1" applyFont="1" applyFill="1" applyBorder="1" applyAlignment="1">
      <alignment horizontal="center" wrapText="1"/>
    </xf>
    <xf numFmtId="164" fontId="2" fillId="24" borderId="19" xfId="312" applyNumberFormat="1" applyFont="1" applyFill="1" applyBorder="1" applyAlignment="1">
      <alignment horizontal="center" wrapText="1"/>
    </xf>
    <xf numFmtId="164" fontId="3" fillId="0" borderId="20" xfId="312" applyNumberFormat="1" applyFont="1" applyBorder="1"/>
    <xf numFmtId="164" fontId="2" fillId="24" borderId="12" xfId="312" applyNumberFormat="1" applyFont="1" applyFill="1" applyBorder="1" applyAlignment="1"/>
    <xf numFmtId="164" fontId="2" fillId="24" borderId="10" xfId="312" applyNumberFormat="1" applyFont="1" applyFill="1" applyBorder="1" applyAlignment="1"/>
    <xf numFmtId="0" fontId="7" fillId="0" borderId="0" xfId="458" applyFont="1" applyAlignment="1"/>
    <xf numFmtId="0" fontId="12" fillId="0" borderId="0" xfId="458" applyFont="1" applyBorder="1" applyAlignment="1">
      <alignment horizontal="center"/>
    </xf>
    <xf numFmtId="0" fontId="13" fillId="0" borderId="0" xfId="458" applyFont="1"/>
    <xf numFmtId="164" fontId="83" fillId="0" borderId="0" xfId="312" applyNumberFormat="1" applyFont="1"/>
    <xf numFmtId="166" fontId="83" fillId="0" borderId="0" xfId="562" applyNumberFormat="1" applyFont="1"/>
    <xf numFmtId="0" fontId="83" fillId="0" borderId="0" xfId="0" applyFont="1"/>
    <xf numFmtId="164" fontId="13" fillId="0" borderId="14" xfId="312" applyNumberFormat="1" applyFont="1" applyBorder="1"/>
    <xf numFmtId="0" fontId="14" fillId="58" borderId="17" xfId="458" applyFont="1" applyFill="1" applyBorder="1"/>
    <xf numFmtId="164" fontId="84" fillId="58" borderId="17" xfId="312" applyNumberFormat="1" applyFont="1" applyFill="1" applyBorder="1"/>
    <xf numFmtId="164" fontId="13" fillId="0" borderId="21" xfId="312" applyNumberFormat="1" applyFont="1" applyFill="1" applyBorder="1"/>
    <xf numFmtId="164" fontId="83" fillId="0" borderId="21" xfId="312" applyNumberFormat="1" applyFont="1" applyFill="1" applyBorder="1"/>
    <xf numFmtId="164" fontId="84" fillId="58" borderId="17" xfId="312" applyNumberFormat="1" applyFont="1" applyFill="1" applyBorder="1" applyAlignment="1">
      <alignment horizontal="center" wrapText="1"/>
    </xf>
    <xf numFmtId="164" fontId="83" fillId="0" borderId="0" xfId="0" applyNumberFormat="1" applyFont="1" applyBorder="1"/>
    <xf numFmtId="10" fontId="83" fillId="0" borderId="13" xfId="562" applyNumberFormat="1" applyFont="1" applyBorder="1"/>
    <xf numFmtId="164" fontId="83" fillId="0" borderId="11" xfId="0" applyNumberFormat="1" applyFont="1" applyBorder="1"/>
    <xf numFmtId="10" fontId="83" fillId="0" borderId="16" xfId="562" applyNumberFormat="1" applyFont="1" applyBorder="1"/>
    <xf numFmtId="0" fontId="2" fillId="58" borderId="12" xfId="458" applyFont="1" applyFill="1" applyBorder="1" applyAlignment="1">
      <alignment wrapText="1"/>
    </xf>
    <xf numFmtId="0" fontId="84" fillId="58" borderId="18" xfId="0" applyFont="1" applyFill="1" applyBorder="1" applyAlignment="1">
      <alignment horizontal="center" wrapText="1"/>
    </xf>
    <xf numFmtId="0" fontId="84" fillId="58" borderId="18" xfId="0" applyFont="1" applyFill="1" applyBorder="1" applyAlignment="1">
      <alignment horizontal="center"/>
    </xf>
    <xf numFmtId="164" fontId="7" fillId="0" borderId="0" xfId="312" applyNumberFormat="1" applyFont="1"/>
    <xf numFmtId="167" fontId="84" fillId="58" borderId="22" xfId="342" applyNumberFormat="1" applyFont="1" applyFill="1" applyBorder="1"/>
    <xf numFmtId="167" fontId="84" fillId="58" borderId="11" xfId="342" applyNumberFormat="1" applyFont="1" applyFill="1" applyBorder="1"/>
    <xf numFmtId="10" fontId="84" fillId="58" borderId="16" xfId="562" applyNumberFormat="1" applyFont="1" applyFill="1" applyBorder="1"/>
    <xf numFmtId="164" fontId="7" fillId="57" borderId="0" xfId="312" applyNumberFormat="1" applyFont="1" applyFill="1"/>
    <xf numFmtId="0" fontId="84" fillId="58" borderId="22" xfId="0" quotePrefix="1" applyFont="1" applyFill="1" applyBorder="1"/>
    <xf numFmtId="164" fontId="67" fillId="0" borderId="0" xfId="312" applyNumberFormat="1" applyFont="1" applyFill="1"/>
    <xf numFmtId="164" fontId="85" fillId="0" borderId="0" xfId="312" applyNumberFormat="1" applyFont="1"/>
    <xf numFmtId="167" fontId="67" fillId="0" borderId="0" xfId="343" applyNumberFormat="1" applyFont="1" applyFill="1"/>
    <xf numFmtId="9" fontId="67" fillId="0" borderId="0" xfId="562" applyFont="1" applyFill="1"/>
    <xf numFmtId="164" fontId="2" fillId="0" borderId="0" xfId="312" applyNumberFormat="1" applyFont="1" applyFill="1" applyBorder="1" applyAlignment="1">
      <alignment horizontal="center" wrapText="1"/>
    </xf>
    <xf numFmtId="0" fontId="8" fillId="0" borderId="0" xfId="458" applyFont="1" applyAlignment="1"/>
    <xf numFmtId="164" fontId="2" fillId="0" borderId="0" xfId="312" applyNumberFormat="1" applyFont="1" applyAlignment="1">
      <alignment horizontal="center" wrapText="1"/>
    </xf>
    <xf numFmtId="164" fontId="3" fillId="0" borderId="0" xfId="312" applyNumberFormat="1" applyFont="1" applyFill="1"/>
    <xf numFmtId="0" fontId="2" fillId="58" borderId="11" xfId="458" applyFont="1" applyFill="1" applyBorder="1" applyAlignment="1">
      <alignment horizontal="center" wrapText="1"/>
    </xf>
    <xf numFmtId="0" fontId="2" fillId="58" borderId="15" xfId="458" applyFont="1" applyFill="1" applyBorder="1" applyAlignment="1">
      <alignment horizontal="center" wrapText="1"/>
    </xf>
    <xf numFmtId="0" fontId="2" fillId="58" borderId="16" xfId="458" applyFont="1" applyFill="1" applyBorder="1" applyAlignment="1">
      <alignment horizontal="center" wrapText="1"/>
    </xf>
    <xf numFmtId="170" fontId="3" fillId="0" borderId="0" xfId="312" applyNumberFormat="1" applyFont="1"/>
    <xf numFmtId="164" fontId="2" fillId="0" borderId="0" xfId="312" applyNumberFormat="1" applyFont="1" applyBorder="1" applyAlignment="1">
      <alignment horizontal="center"/>
    </xf>
    <xf numFmtId="164" fontId="8" fillId="58" borderId="12" xfId="312" applyNumberFormat="1" applyFont="1" applyFill="1" applyBorder="1" applyAlignment="1">
      <alignment horizontal="center"/>
    </xf>
    <xf numFmtId="164" fontId="8" fillId="58" borderId="10" xfId="312" applyNumberFormat="1" applyFont="1" applyFill="1" applyBorder="1" applyAlignment="1">
      <alignment horizontal="center"/>
    </xf>
    <xf numFmtId="164" fontId="8" fillId="58" borderId="20" xfId="312" applyNumberFormat="1" applyFont="1" applyFill="1" applyBorder="1" applyAlignment="1">
      <alignment horizontal="center"/>
    </xf>
    <xf numFmtId="164" fontId="2" fillId="58" borderId="15" xfId="312" applyNumberFormat="1" applyFont="1" applyFill="1" applyBorder="1" applyAlignment="1"/>
    <xf numFmtId="164" fontId="2" fillId="58" borderId="11" xfId="312" applyNumberFormat="1" applyFont="1" applyFill="1" applyBorder="1" applyAlignment="1"/>
    <xf numFmtId="164" fontId="2" fillId="58" borderId="15" xfId="312" applyNumberFormat="1" applyFont="1" applyFill="1" applyBorder="1" applyAlignment="1">
      <alignment horizontal="center" wrapText="1"/>
    </xf>
    <xf numFmtId="164" fontId="2" fillId="0" borderId="0" xfId="312" applyNumberFormat="1" applyFont="1" applyAlignment="1">
      <alignment horizontal="center"/>
    </xf>
    <xf numFmtId="164" fontId="2" fillId="0" borderId="0" xfId="312" quotePrefix="1" applyNumberFormat="1" applyFont="1" applyAlignment="1">
      <alignment horizontal="center"/>
    </xf>
    <xf numFmtId="164" fontId="2" fillId="58" borderId="0" xfId="312" applyNumberFormat="1" applyFont="1" applyFill="1" applyBorder="1" applyAlignment="1">
      <alignment horizontal="center" wrapText="1"/>
    </xf>
    <xf numFmtId="164" fontId="2" fillId="58" borderId="14" xfId="312" applyNumberFormat="1" applyFont="1" applyFill="1" applyBorder="1" applyAlignment="1">
      <alignment horizontal="center" wrapText="1"/>
    </xf>
    <xf numFmtId="164" fontId="8" fillId="58" borderId="23" xfId="312" applyNumberFormat="1" applyFont="1" applyFill="1" applyBorder="1" applyAlignment="1">
      <alignment horizontal="center"/>
    </xf>
    <xf numFmtId="164" fontId="2" fillId="58" borderId="21" xfId="312" applyNumberFormat="1" applyFont="1" applyFill="1" applyBorder="1" applyAlignment="1">
      <alignment horizontal="center" wrapText="1"/>
    </xf>
    <xf numFmtId="164" fontId="8" fillId="58" borderId="12" xfId="312" applyNumberFormat="1" applyFont="1" applyFill="1" applyBorder="1" applyAlignment="1"/>
    <xf numFmtId="164" fontId="8" fillId="58" borderId="10" xfId="312" applyNumberFormat="1" applyFont="1" applyFill="1" applyBorder="1" applyAlignment="1"/>
    <xf numFmtId="170" fontId="3" fillId="0" borderId="0" xfId="307" applyNumberFormat="1" applyFont="1" applyFill="1" applyBorder="1"/>
    <xf numFmtId="168" fontId="3" fillId="0" borderId="0" xfId="343" applyNumberFormat="1" applyFont="1"/>
    <xf numFmtId="164" fontId="8" fillId="58" borderId="20" xfId="312" applyNumberFormat="1" applyFont="1" applyFill="1" applyBorder="1" applyAlignment="1"/>
    <xf numFmtId="170" fontId="3" fillId="0" borderId="13" xfId="307" applyNumberFormat="1" applyFont="1" applyFill="1" applyBorder="1"/>
    <xf numFmtId="164" fontId="8" fillId="58" borderId="23" xfId="312" applyNumberFormat="1" applyFont="1" applyFill="1" applyBorder="1" applyAlignment="1"/>
    <xf numFmtId="170" fontId="3" fillId="0" borderId="12" xfId="307" applyNumberFormat="1" applyFont="1" applyFill="1" applyBorder="1"/>
    <xf numFmtId="170" fontId="3" fillId="0" borderId="14" xfId="307" applyNumberFormat="1" applyFont="1" applyFill="1" applyBorder="1"/>
    <xf numFmtId="170" fontId="3" fillId="0" borderId="15" xfId="307" applyNumberFormat="1" applyFont="1" applyFill="1" applyBorder="1"/>
    <xf numFmtId="164" fontId="2" fillId="24" borderId="17" xfId="312" applyNumberFormat="1" applyFont="1" applyFill="1" applyBorder="1"/>
    <xf numFmtId="164" fontId="2" fillId="24" borderId="18" xfId="312" applyNumberFormat="1" applyFont="1" applyFill="1" applyBorder="1"/>
    <xf numFmtId="9" fontId="3" fillId="0" borderId="23" xfId="561" applyFont="1" applyFill="1" applyBorder="1"/>
    <xf numFmtId="9" fontId="3" fillId="0" borderId="21" xfId="561" applyFont="1" applyFill="1" applyBorder="1"/>
    <xf numFmtId="9" fontId="3" fillId="0" borderId="24" xfId="561" applyFont="1" applyFill="1" applyBorder="1"/>
    <xf numFmtId="166" fontId="2" fillId="24" borderId="24" xfId="561" applyNumberFormat="1" applyFont="1" applyFill="1" applyBorder="1"/>
    <xf numFmtId="167" fontId="7" fillId="57" borderId="0" xfId="342" applyNumberFormat="1" applyFont="1" applyFill="1"/>
    <xf numFmtId="165" fontId="16" fillId="0" borderId="0" xfId="312" applyNumberFormat="1" applyFont="1" applyAlignment="1"/>
    <xf numFmtId="9" fontId="2" fillId="0" borderId="0" xfId="561" applyFont="1"/>
    <xf numFmtId="0" fontId="18" fillId="0" borderId="0" xfId="495"/>
    <xf numFmtId="164" fontId="62" fillId="0" borderId="0" xfId="312" applyNumberFormat="1" applyFont="1"/>
    <xf numFmtId="164" fontId="62" fillId="0" borderId="0" xfId="312" applyNumberFormat="1" applyFont="1" applyAlignment="1">
      <alignment horizontal="center"/>
    </xf>
    <xf numFmtId="0" fontId="18" fillId="0" borderId="0" xfId="495" applyBorder="1"/>
    <xf numFmtId="164" fontId="11" fillId="0" borderId="25" xfId="312" applyNumberFormat="1" applyFont="1" applyBorder="1" applyAlignment="1">
      <alignment horizontal="centerContinuous"/>
    </xf>
    <xf numFmtId="164" fontId="11" fillId="0" borderId="26" xfId="312" applyNumberFormat="1" applyFont="1" applyBorder="1" applyAlignment="1">
      <alignment horizontal="centerContinuous"/>
    </xf>
    <xf numFmtId="0" fontId="18" fillId="0" borderId="26" xfId="495" applyBorder="1" applyAlignment="1">
      <alignment horizontal="centerContinuous"/>
    </xf>
    <xf numFmtId="0" fontId="11" fillId="0" borderId="26" xfId="495" quotePrefix="1" applyFont="1" applyFill="1" applyBorder="1" applyAlignment="1">
      <alignment horizontal="center"/>
    </xf>
    <xf numFmtId="0" fontId="11" fillId="0" borderId="26" xfId="495" applyFont="1" applyFill="1" applyBorder="1" applyAlignment="1">
      <alignment horizontal="center"/>
    </xf>
    <xf numFmtId="0" fontId="11" fillId="24" borderId="27" xfId="495" quotePrefix="1" applyFont="1" applyFill="1" applyBorder="1" applyAlignment="1">
      <alignment horizontal="center"/>
    </xf>
    <xf numFmtId="0" fontId="11" fillId="57" borderId="27" xfId="495" quotePrefix="1" applyFont="1" applyFill="1" applyBorder="1" applyAlignment="1">
      <alignment horizontal="center"/>
    </xf>
    <xf numFmtId="0" fontId="18" fillId="0" borderId="13" xfId="495" applyBorder="1"/>
    <xf numFmtId="164" fontId="20" fillId="0" borderId="14" xfId="312" applyNumberFormat="1" applyFont="1" applyBorder="1" applyAlignment="1">
      <alignment horizontal="center"/>
    </xf>
    <xf numFmtId="164" fontId="20" fillId="0" borderId="0" xfId="312" applyNumberFormat="1" applyFont="1" applyBorder="1" applyAlignment="1">
      <alignment horizontal="center"/>
    </xf>
    <xf numFmtId="0" fontId="20" fillId="0" borderId="0" xfId="495" applyFont="1" applyBorder="1" applyAlignment="1">
      <alignment horizontal="center"/>
    </xf>
    <xf numFmtId="164" fontId="20" fillId="0" borderId="13" xfId="312" applyNumberFormat="1" applyFont="1" applyBorder="1" applyAlignment="1">
      <alignment horizontal="center"/>
    </xf>
    <xf numFmtId="164" fontId="20" fillId="0" borderId="21" xfId="312" applyNumberFormat="1" applyFont="1" applyBorder="1" applyAlignment="1">
      <alignment horizontal="center"/>
    </xf>
    <xf numFmtId="0" fontId="11" fillId="0" borderId="0" xfId="495" applyFont="1" applyBorder="1" applyAlignment="1">
      <alignment horizontal="center"/>
    </xf>
    <xf numFmtId="0" fontId="11" fillId="24" borderId="21" xfId="495" applyFont="1" applyFill="1" applyBorder="1" applyAlignment="1">
      <alignment horizontal="center"/>
    </xf>
    <xf numFmtId="0" fontId="11" fillId="57" borderId="21" xfId="495" applyFont="1" applyFill="1" applyBorder="1" applyAlignment="1">
      <alignment horizontal="center"/>
    </xf>
    <xf numFmtId="164" fontId="11" fillId="0" borderId="0" xfId="312" applyNumberFormat="1" applyFont="1" applyBorder="1" applyAlignment="1">
      <alignment horizontal="center"/>
    </xf>
    <xf numFmtId="167" fontId="11" fillId="24" borderId="21" xfId="343" applyNumberFormat="1" applyFont="1" applyFill="1" applyBorder="1" applyAlignment="1">
      <alignment horizontal="center"/>
    </xf>
    <xf numFmtId="167" fontId="11" fillId="57" borderId="21" xfId="343" applyNumberFormat="1" applyFont="1" applyFill="1" applyBorder="1" applyAlignment="1">
      <alignment horizontal="center"/>
    </xf>
    <xf numFmtId="164" fontId="11" fillId="0" borderId="11" xfId="312" applyNumberFormat="1" applyFont="1" applyBorder="1"/>
    <xf numFmtId="164" fontId="11" fillId="0" borderId="16" xfId="312" applyNumberFormat="1" applyFont="1" applyBorder="1"/>
    <xf numFmtId="164" fontId="20" fillId="0" borderId="15" xfId="312" applyNumberFormat="1" applyFont="1" applyBorder="1" applyAlignment="1">
      <alignment horizontal="center"/>
    </xf>
    <xf numFmtId="164" fontId="20" fillId="0" borderId="11" xfId="312" applyNumberFormat="1" applyFont="1" applyBorder="1" applyAlignment="1">
      <alignment horizontal="center"/>
    </xf>
    <xf numFmtId="0" fontId="20" fillId="0" borderId="11" xfId="495" applyFont="1" applyBorder="1" applyAlignment="1">
      <alignment horizontal="center"/>
    </xf>
    <xf numFmtId="164" fontId="20" fillId="0" borderId="16" xfId="312" applyNumberFormat="1" applyFont="1" applyBorder="1" applyAlignment="1">
      <alignment horizontal="center"/>
    </xf>
    <xf numFmtId="164" fontId="20" fillId="0" borderId="24" xfId="312" applyNumberFormat="1" applyFont="1" applyBorder="1" applyAlignment="1">
      <alignment horizontal="center"/>
    </xf>
    <xf numFmtId="0" fontId="11" fillId="0" borderId="11" xfId="495" applyFont="1" applyBorder="1" applyAlignment="1">
      <alignment horizontal="center"/>
    </xf>
    <xf numFmtId="0" fontId="11" fillId="24" borderId="24" xfId="495" applyFont="1" applyFill="1" applyBorder="1" applyAlignment="1">
      <alignment horizontal="center"/>
    </xf>
    <xf numFmtId="0" fontId="11" fillId="57" borderId="24" xfId="495" applyFont="1" applyFill="1" applyBorder="1" applyAlignment="1">
      <alignment horizontal="center"/>
    </xf>
    <xf numFmtId="164" fontId="11" fillId="0" borderId="12" xfId="312" applyNumberFormat="1" applyFont="1" applyBorder="1"/>
    <xf numFmtId="164" fontId="17" fillId="0" borderId="12" xfId="312" applyNumberFormat="1" applyFont="1" applyFill="1" applyBorder="1"/>
    <xf numFmtId="164" fontId="17" fillId="0" borderId="0" xfId="312" applyNumberFormat="1" applyFont="1" applyFill="1" applyBorder="1"/>
    <xf numFmtId="164" fontId="17" fillId="0" borderId="10" xfId="495" applyNumberFormat="1" applyFont="1" applyBorder="1"/>
    <xf numFmtId="164" fontId="17" fillId="0" borderId="13" xfId="312" applyNumberFormat="1" applyFont="1" applyFill="1" applyBorder="1"/>
    <xf numFmtId="164" fontId="17" fillId="0" borderId="0" xfId="312" applyNumberFormat="1" applyFont="1" applyFill="1"/>
    <xf numFmtId="164" fontId="62" fillId="0" borderId="10" xfId="312" applyNumberFormat="1" applyFont="1" applyBorder="1"/>
    <xf numFmtId="164" fontId="62" fillId="0" borderId="0" xfId="312" applyNumberFormat="1" applyFont="1" applyBorder="1"/>
    <xf numFmtId="164" fontId="62" fillId="24" borderId="23" xfId="312" applyNumberFormat="1" applyFont="1" applyFill="1" applyBorder="1"/>
    <xf numFmtId="164" fontId="18" fillId="57" borderId="23" xfId="312" applyNumberFormat="1" applyFont="1" applyFill="1" applyBorder="1"/>
    <xf numFmtId="164" fontId="11" fillId="0" borderId="14" xfId="312" applyNumberFormat="1" applyFont="1" applyBorder="1"/>
    <xf numFmtId="164" fontId="17" fillId="0" borderId="14" xfId="312" applyNumberFormat="1" applyFont="1" applyFill="1" applyBorder="1"/>
    <xf numFmtId="164" fontId="17" fillId="0" borderId="0" xfId="495" applyNumberFormat="1" applyFont="1" applyBorder="1"/>
    <xf numFmtId="164" fontId="62" fillId="0" borderId="0" xfId="312" applyNumberFormat="1" applyFont="1" applyFill="1" applyBorder="1"/>
    <xf numFmtId="164" fontId="62" fillId="24" borderId="21" xfId="312" applyNumberFormat="1" applyFont="1" applyFill="1" applyBorder="1"/>
    <xf numFmtId="164" fontId="18" fillId="57" borderId="21" xfId="312" applyNumberFormat="1" applyFont="1" applyFill="1" applyBorder="1"/>
    <xf numFmtId="164" fontId="11" fillId="0" borderId="14" xfId="312" applyNumberFormat="1" applyFont="1" applyBorder="1" applyAlignment="1">
      <alignment horizontal="left"/>
    </xf>
    <xf numFmtId="164" fontId="17" fillId="0" borderId="15" xfId="312" applyNumberFormat="1" applyFont="1" applyFill="1" applyBorder="1"/>
    <xf numFmtId="164" fontId="11" fillId="0" borderId="17" xfId="312" applyNumberFormat="1" applyFont="1" applyBorder="1"/>
    <xf numFmtId="164" fontId="11" fillId="0" borderId="19" xfId="312" applyNumberFormat="1" applyFont="1" applyBorder="1"/>
    <xf numFmtId="167" fontId="17" fillId="0" borderId="17" xfId="343" applyNumberFormat="1" applyFont="1" applyBorder="1"/>
    <xf numFmtId="167" fontId="17" fillId="0" borderId="18" xfId="343" applyNumberFormat="1" applyFont="1" applyBorder="1"/>
    <xf numFmtId="167" fontId="17" fillId="0" borderId="19" xfId="343" applyNumberFormat="1" applyFont="1" applyBorder="1"/>
    <xf numFmtId="164" fontId="17" fillId="0" borderId="18" xfId="562" applyNumberFormat="1" applyFont="1" applyBorder="1"/>
    <xf numFmtId="167" fontId="62" fillId="0" borderId="18" xfId="343" applyNumberFormat="1" applyFont="1" applyBorder="1"/>
    <xf numFmtId="167" fontId="62" fillId="24" borderId="22" xfId="343" applyNumberFormat="1" applyFont="1" applyFill="1" applyBorder="1"/>
    <xf numFmtId="167" fontId="18" fillId="57" borderId="22" xfId="343" applyNumberFormat="1" applyFont="1" applyFill="1" applyBorder="1"/>
    <xf numFmtId="164" fontId="7" fillId="0" borderId="0" xfId="495" applyNumberFormat="1" applyFont="1" applyBorder="1" applyAlignment="1">
      <alignment horizontal="center"/>
    </xf>
    <xf numFmtId="166" fontId="18" fillId="0" borderId="0" xfId="495" applyNumberFormat="1"/>
    <xf numFmtId="164" fontId="18" fillId="0" borderId="0" xfId="495" applyNumberFormat="1"/>
    <xf numFmtId="0" fontId="21" fillId="0" borderId="0" xfId="495" applyFont="1" applyFill="1"/>
    <xf numFmtId="164" fontId="22" fillId="0" borderId="0" xfId="495" applyNumberFormat="1" applyFont="1" applyFill="1" applyBorder="1" applyAlignment="1">
      <alignment horizontal="center"/>
    </xf>
    <xf numFmtId="0" fontId="1" fillId="0" borderId="0" xfId="495" applyFont="1" applyFill="1"/>
    <xf numFmtId="164" fontId="1" fillId="0" borderId="0" xfId="495" applyNumberFormat="1" applyFont="1" applyFill="1" applyBorder="1" applyAlignment="1">
      <alignment horizontal="center"/>
    </xf>
    <xf numFmtId="164" fontId="18" fillId="0" borderId="26" xfId="495" applyNumberFormat="1" applyBorder="1"/>
    <xf numFmtId="41" fontId="1" fillId="0" borderId="0" xfId="495" applyNumberFormat="1" applyFont="1" applyFill="1" applyBorder="1" applyAlignment="1">
      <alignment horizontal="center"/>
    </xf>
    <xf numFmtId="164" fontId="1" fillId="0" borderId="26" xfId="495" applyNumberFormat="1" applyFont="1" applyFill="1" applyBorder="1" applyAlignment="1">
      <alignment horizontal="center"/>
    </xf>
    <xf numFmtId="164" fontId="1" fillId="0" borderId="0" xfId="495" applyNumberFormat="1" applyFont="1" applyBorder="1" applyAlignment="1">
      <alignment horizontal="center"/>
    </xf>
    <xf numFmtId="0" fontId="11" fillId="0" borderId="0" xfId="495" applyFont="1" applyFill="1" applyBorder="1"/>
    <xf numFmtId="0" fontId="18" fillId="0" borderId="0" xfId="495" applyFill="1" applyBorder="1"/>
    <xf numFmtId="0" fontId="11" fillId="0" borderId="0" xfId="495" applyFont="1" applyBorder="1" applyAlignment="1">
      <alignment horizontal="centerContinuous"/>
    </xf>
    <xf numFmtId="0" fontId="11" fillId="0" borderId="0" xfId="495" applyFont="1" applyBorder="1"/>
    <xf numFmtId="166" fontId="18" fillId="0" borderId="0" xfId="495" applyNumberFormat="1" applyBorder="1"/>
    <xf numFmtId="164" fontId="18" fillId="0" borderId="0" xfId="495" applyNumberFormat="1" applyBorder="1"/>
    <xf numFmtId="0" fontId="1" fillId="0" borderId="0" xfId="495" applyFont="1" applyBorder="1"/>
    <xf numFmtId="0" fontId="23" fillId="0" borderId="0" xfId="495" applyFont="1" applyBorder="1" applyAlignment="1">
      <alignment horizontal="center"/>
    </xf>
    <xf numFmtId="41" fontId="1" fillId="0" borderId="26" xfId="495" applyNumberFormat="1" applyFont="1" applyFill="1" applyBorder="1" applyAlignment="1">
      <alignment horizontal="center"/>
    </xf>
    <xf numFmtId="49" fontId="11" fillId="0" borderId="0" xfId="495" applyNumberFormat="1" applyFont="1" applyBorder="1"/>
    <xf numFmtId="9" fontId="62" fillId="0" borderId="0" xfId="562" applyFont="1" applyBorder="1"/>
    <xf numFmtId="49" fontId="11" fillId="0" borderId="0" xfId="495" applyNumberFormat="1" applyFont="1" applyFill="1" applyBorder="1"/>
    <xf numFmtId="164" fontId="24" fillId="0" borderId="0" xfId="312" applyNumberFormat="1" applyFont="1" applyBorder="1"/>
    <xf numFmtId="164" fontId="24" fillId="0" borderId="0" xfId="495" applyNumberFormat="1" applyFont="1" applyBorder="1"/>
    <xf numFmtId="3" fontId="24" fillId="0" borderId="0" xfId="495" applyNumberFormat="1" applyFont="1" applyBorder="1"/>
    <xf numFmtId="43" fontId="18" fillId="0" borderId="0" xfId="495" applyNumberFormat="1" applyBorder="1"/>
    <xf numFmtId="164" fontId="1" fillId="0" borderId="0" xfId="312" applyNumberFormat="1" applyFont="1" applyBorder="1"/>
    <xf numFmtId="0" fontId="18" fillId="25" borderId="0" xfId="495" applyFill="1" applyBorder="1"/>
    <xf numFmtId="164" fontId="62" fillId="25" borderId="0" xfId="312" applyNumberFormat="1" applyFont="1" applyFill="1" applyBorder="1"/>
    <xf numFmtId="164" fontId="18" fillId="25" borderId="0" xfId="495" applyNumberFormat="1" applyFill="1" applyBorder="1"/>
    <xf numFmtId="164" fontId="15" fillId="25" borderId="0" xfId="312" applyNumberFormat="1" applyFont="1" applyFill="1" applyBorder="1"/>
    <xf numFmtId="164" fontId="24" fillId="25" borderId="0" xfId="312" applyNumberFormat="1" applyFont="1" applyFill="1" applyBorder="1"/>
    <xf numFmtId="0" fontId="18" fillId="25" borderId="0" xfId="495" applyFill="1" applyBorder="1" applyAlignment="1">
      <alignment horizontal="left"/>
    </xf>
    <xf numFmtId="164" fontId="24" fillId="25" borderId="0" xfId="495" applyNumberFormat="1" applyFont="1" applyFill="1" applyBorder="1"/>
    <xf numFmtId="164" fontId="17" fillId="0" borderId="0" xfId="312" applyNumberFormat="1" applyFont="1" applyBorder="1"/>
    <xf numFmtId="170" fontId="3" fillId="0" borderId="20" xfId="307" applyNumberFormat="1" applyFont="1" applyFill="1" applyBorder="1"/>
    <xf numFmtId="170" fontId="3" fillId="0" borderId="16" xfId="307" applyNumberFormat="1" applyFont="1" applyFill="1" applyBorder="1"/>
    <xf numFmtId="9" fontId="7" fillId="0" borderId="0" xfId="561" applyFont="1" applyBorder="1" applyAlignment="1">
      <alignment horizontal="center"/>
    </xf>
    <xf numFmtId="0" fontId="11" fillId="58" borderId="27" xfId="495" quotePrefix="1" applyFont="1" applyFill="1" applyBorder="1" applyAlignment="1">
      <alignment horizontal="center"/>
    </xf>
    <xf numFmtId="0" fontId="11" fillId="58" borderId="21" xfId="495" applyFont="1" applyFill="1" applyBorder="1" applyAlignment="1">
      <alignment horizontal="center"/>
    </xf>
    <xf numFmtId="167" fontId="11" fillId="58" borderId="21" xfId="343" applyNumberFormat="1" applyFont="1" applyFill="1" applyBorder="1" applyAlignment="1">
      <alignment horizontal="center"/>
    </xf>
    <xf numFmtId="0" fontId="11" fillId="58" borderId="24" xfId="495" applyFont="1" applyFill="1" applyBorder="1" applyAlignment="1">
      <alignment horizontal="center"/>
    </xf>
    <xf numFmtId="164" fontId="18" fillId="58" borderId="23" xfId="312" applyNumberFormat="1" applyFont="1" applyFill="1" applyBorder="1"/>
    <xf numFmtId="164" fontId="18" fillId="58" borderId="21" xfId="312" applyNumberFormat="1" applyFont="1" applyFill="1" applyBorder="1"/>
    <xf numFmtId="167" fontId="18" fillId="58" borderId="22" xfId="343" applyNumberFormat="1" applyFont="1" applyFill="1" applyBorder="1"/>
    <xf numFmtId="43" fontId="3" fillId="0" borderId="0" xfId="312" applyNumberFormat="1" applyFont="1"/>
    <xf numFmtId="9" fontId="18" fillId="0" borderId="0" xfId="561" applyFont="1" applyAlignment="1">
      <alignment horizontal="center"/>
    </xf>
    <xf numFmtId="166" fontId="17" fillId="0" borderId="21" xfId="562" applyNumberFormat="1" applyFont="1" applyFill="1" applyBorder="1"/>
    <xf numFmtId="166" fontId="17" fillId="0" borderId="22" xfId="562" applyNumberFormat="1" applyFont="1" applyBorder="1"/>
    <xf numFmtId="9" fontId="62" fillId="59" borderId="0" xfId="561" applyFont="1" applyFill="1" applyAlignment="1">
      <alignment horizontal="center"/>
    </xf>
    <xf numFmtId="170" fontId="8" fillId="58" borderId="10" xfId="312" applyNumberFormat="1" applyFont="1" applyFill="1" applyBorder="1" applyAlignment="1"/>
    <xf numFmtId="164" fontId="8" fillId="58" borderId="20" xfId="312" applyNumberFormat="1" applyFont="1" applyFill="1" applyBorder="1" applyAlignment="1">
      <alignment horizontal="center"/>
    </xf>
    <xf numFmtId="164" fontId="62" fillId="0" borderId="0" xfId="312" applyNumberFormat="1" applyFont="1" applyFill="1"/>
    <xf numFmtId="164" fontId="62" fillId="0" borderId="0" xfId="312" applyNumberFormat="1" applyFont="1"/>
    <xf numFmtId="167" fontId="62" fillId="0" borderId="0" xfId="343" applyNumberFormat="1" applyFont="1"/>
    <xf numFmtId="171" fontId="3" fillId="0" borderId="0" xfId="312" applyNumberFormat="1" applyFont="1"/>
    <xf numFmtId="41" fontId="3" fillId="0" borderId="13" xfId="312" applyNumberFormat="1" applyFont="1" applyBorder="1"/>
    <xf numFmtId="41" fontId="2" fillId="24" borderId="17" xfId="312" applyNumberFormat="1" applyFont="1" applyFill="1" applyBorder="1"/>
    <xf numFmtId="41" fontId="2" fillId="24" borderId="18" xfId="312" applyNumberFormat="1" applyFont="1" applyFill="1" applyBorder="1"/>
    <xf numFmtId="164" fontId="2" fillId="24" borderId="19" xfId="307" applyNumberFormat="1" applyFont="1" applyFill="1" applyBorder="1"/>
    <xf numFmtId="164" fontId="2" fillId="24" borderId="18" xfId="307" applyNumberFormat="1" applyFont="1" applyFill="1" applyBorder="1"/>
    <xf numFmtId="167" fontId="25" fillId="0" borderId="17" xfId="343" applyNumberFormat="1" applyFont="1" applyBorder="1"/>
    <xf numFmtId="167" fontId="25" fillId="0" borderId="18" xfId="343" applyNumberFormat="1" applyFont="1" applyBorder="1"/>
    <xf numFmtId="167" fontId="25" fillId="0" borderId="19" xfId="343" applyNumberFormat="1" applyFont="1" applyBorder="1"/>
    <xf numFmtId="0" fontId="3" fillId="0" borderId="0" xfId="495" applyFont="1"/>
    <xf numFmtId="164" fontId="2" fillId="0" borderId="0" xfId="495" applyNumberFormat="1" applyFont="1" applyBorder="1" applyAlignment="1">
      <alignment horizontal="center"/>
    </xf>
    <xf numFmtId="9" fontId="86" fillId="0" borderId="0" xfId="561" applyFont="1" applyAlignment="1">
      <alignment horizontal="center"/>
    </xf>
    <xf numFmtId="166" fontId="18" fillId="0" borderId="0" xfId="561" applyNumberFormat="1" applyFont="1"/>
    <xf numFmtId="164" fontId="26" fillId="0" borderId="0" xfId="312" applyNumberFormat="1" applyFont="1"/>
    <xf numFmtId="0" fontId="7" fillId="0" borderId="0" xfId="507" applyFont="1" applyAlignment="1">
      <alignment horizontal="center"/>
    </xf>
    <xf numFmtId="0" fontId="27" fillId="0" borderId="0" xfId="507"/>
    <xf numFmtId="164" fontId="62" fillId="0" borderId="0" xfId="312" applyNumberFormat="1" applyFont="1"/>
    <xf numFmtId="0" fontId="27" fillId="0" borderId="0" xfId="507" applyFill="1" applyBorder="1"/>
    <xf numFmtId="0" fontId="7" fillId="0" borderId="0" xfId="507" applyFont="1"/>
    <xf numFmtId="164" fontId="11" fillId="0" borderId="13" xfId="312" applyNumberFormat="1" applyFont="1" applyBorder="1"/>
    <xf numFmtId="164" fontId="11" fillId="0" borderId="20" xfId="312" applyNumberFormat="1" applyFont="1" applyBorder="1"/>
    <xf numFmtId="1" fontId="27" fillId="0" borderId="0" xfId="507" applyNumberFormat="1"/>
    <xf numFmtId="1" fontId="11" fillId="0" borderId="0" xfId="507" applyNumberFormat="1" applyFont="1" applyFill="1" applyBorder="1"/>
    <xf numFmtId="1" fontId="27" fillId="0" borderId="0" xfId="507" applyNumberFormat="1" applyFill="1" applyBorder="1"/>
    <xf numFmtId="164" fontId="11" fillId="0" borderId="0" xfId="312" applyNumberFormat="1" applyFont="1" applyFill="1" applyBorder="1"/>
    <xf numFmtId="0" fontId="27" fillId="0" borderId="0" xfId="507" applyBorder="1"/>
    <xf numFmtId="43" fontId="1" fillId="0" borderId="0" xfId="312" applyFont="1" applyBorder="1"/>
    <xf numFmtId="164" fontId="1" fillId="0" borderId="0" xfId="507" applyNumberFormat="1" applyFont="1" applyFill="1" applyBorder="1" applyAlignment="1">
      <alignment horizontal="center"/>
    </xf>
    <xf numFmtId="9" fontId="27" fillId="0" borderId="0" xfId="561" applyFont="1"/>
    <xf numFmtId="164" fontId="1" fillId="0" borderId="0" xfId="307" applyNumberFormat="1" applyFont="1" applyFill="1" applyBorder="1"/>
    <xf numFmtId="9" fontId="27" fillId="0" borderId="0" xfId="561" applyFont="1" applyFill="1" applyBorder="1"/>
    <xf numFmtId="168" fontId="3" fillId="0" borderId="0" xfId="312" applyNumberFormat="1" applyFont="1"/>
    <xf numFmtId="164" fontId="62" fillId="0" borderId="0" xfId="312" applyNumberFormat="1" applyFont="1"/>
    <xf numFmtId="170" fontId="27" fillId="0" borderId="0" xfId="507" applyNumberFormat="1"/>
    <xf numFmtId="164" fontId="11" fillId="60" borderId="23" xfId="312" applyNumberFormat="1" applyFont="1" applyFill="1" applyBorder="1" applyAlignment="1">
      <alignment horizontal="center"/>
    </xf>
    <xf numFmtId="167" fontId="11" fillId="60" borderId="21" xfId="343" applyNumberFormat="1" applyFont="1" applyFill="1" applyBorder="1" applyAlignment="1">
      <alignment horizontal="center"/>
    </xf>
    <xf numFmtId="164" fontId="11" fillId="60" borderId="24" xfId="312" applyNumberFormat="1" applyFont="1" applyFill="1" applyBorder="1" applyAlignment="1">
      <alignment horizontal="center"/>
    </xf>
    <xf numFmtId="164" fontId="11" fillId="60" borderId="20" xfId="312" applyNumberFormat="1" applyFont="1" applyFill="1" applyBorder="1" applyAlignment="1">
      <alignment horizontal="center"/>
    </xf>
    <xf numFmtId="167" fontId="11" fillId="60" borderId="13" xfId="343" applyNumberFormat="1" applyFont="1" applyFill="1" applyBorder="1" applyAlignment="1">
      <alignment horizontal="center"/>
    </xf>
    <xf numFmtId="164" fontId="11" fillId="60" borderId="16" xfId="312" applyNumberFormat="1" applyFont="1" applyFill="1" applyBorder="1" applyAlignment="1">
      <alignment horizontal="center"/>
    </xf>
    <xf numFmtId="0" fontId="27" fillId="60" borderId="17" xfId="507" applyFill="1" applyBorder="1"/>
    <xf numFmtId="164" fontId="11" fillId="60" borderId="19" xfId="312" applyNumberFormat="1" applyFont="1" applyFill="1" applyBorder="1"/>
    <xf numFmtId="164" fontId="11" fillId="60" borderId="12" xfId="312" applyNumberFormat="1" applyFont="1" applyFill="1" applyBorder="1"/>
    <xf numFmtId="164" fontId="11" fillId="60" borderId="20" xfId="312" applyNumberFormat="1" applyFont="1" applyFill="1" applyBorder="1"/>
    <xf numFmtId="164" fontId="11" fillId="60" borderId="14" xfId="312" applyNumberFormat="1" applyFont="1" applyFill="1" applyBorder="1"/>
    <xf numFmtId="164" fontId="11" fillId="60" borderId="13" xfId="312" applyNumberFormat="1" applyFont="1" applyFill="1" applyBorder="1"/>
    <xf numFmtId="164" fontId="11" fillId="60" borderId="15" xfId="312" applyNumberFormat="1" applyFont="1" applyFill="1" applyBorder="1"/>
    <xf numFmtId="164" fontId="11" fillId="60" borderId="16" xfId="312" applyNumberFormat="1" applyFont="1" applyFill="1" applyBorder="1"/>
    <xf numFmtId="0" fontId="2" fillId="58" borderId="24" xfId="458" applyFont="1" applyFill="1" applyBorder="1" applyAlignment="1">
      <alignment horizontal="center" wrapText="1"/>
    </xf>
    <xf numFmtId="164" fontId="11" fillId="0" borderId="14" xfId="312" applyNumberFormat="1" applyFont="1" applyFill="1" applyBorder="1"/>
    <xf numFmtId="164" fontId="11" fillId="0" borderId="13" xfId="312" applyNumberFormat="1" applyFont="1" applyFill="1" applyBorder="1"/>
    <xf numFmtId="164" fontId="11" fillId="0" borderId="14" xfId="312" applyNumberFormat="1" applyFont="1" applyFill="1" applyBorder="1" applyAlignment="1">
      <alignment horizontal="left"/>
    </xf>
    <xf numFmtId="164" fontId="11" fillId="0" borderId="15" xfId="312" applyNumberFormat="1" applyFont="1" applyFill="1" applyBorder="1"/>
    <xf numFmtId="164" fontId="62" fillId="0" borderId="0" xfId="312" applyNumberFormat="1" applyFont="1"/>
    <xf numFmtId="164" fontId="8" fillId="58" borderId="12" xfId="312" applyNumberFormat="1" applyFont="1" applyFill="1" applyBorder="1" applyAlignment="1">
      <alignment horizontal="center"/>
    </xf>
    <xf numFmtId="164" fontId="8" fillId="58" borderId="10" xfId="312" applyNumberFormat="1" applyFont="1" applyFill="1" applyBorder="1" applyAlignment="1">
      <alignment horizontal="center"/>
    </xf>
    <xf numFmtId="43" fontId="3" fillId="0" borderId="0" xfId="307" applyFont="1"/>
    <xf numFmtId="170" fontId="2" fillId="24" borderId="11" xfId="307" applyNumberFormat="1" applyFont="1" applyFill="1" applyBorder="1"/>
    <xf numFmtId="170" fontId="2" fillId="24" borderId="19" xfId="307" applyNumberFormat="1" applyFont="1" applyFill="1" applyBorder="1"/>
    <xf numFmtId="170" fontId="2" fillId="0" borderId="0" xfId="307" applyNumberFormat="1" applyFont="1" applyAlignment="1">
      <alignment horizontal="center"/>
    </xf>
    <xf numFmtId="170" fontId="8" fillId="58" borderId="23" xfId="307" applyNumberFormat="1" applyFont="1" applyFill="1" applyBorder="1" applyAlignment="1"/>
    <xf numFmtId="170" fontId="3" fillId="0" borderId="0" xfId="307" applyNumberFormat="1" applyFont="1"/>
    <xf numFmtId="171" fontId="3" fillId="0" borderId="0" xfId="312" applyNumberFormat="1" applyFont="1" applyFill="1"/>
    <xf numFmtId="170" fontId="3" fillId="0" borderId="0" xfId="312" applyNumberFormat="1" applyFont="1" applyFill="1"/>
    <xf numFmtId="164" fontId="3" fillId="0" borderId="14" xfId="312" applyNumberFormat="1" applyFont="1" applyFill="1" applyBorder="1"/>
    <xf numFmtId="164" fontId="3" fillId="0" borderId="13" xfId="312" applyNumberFormat="1" applyFont="1" applyFill="1" applyBorder="1"/>
    <xf numFmtId="164" fontId="8" fillId="0" borderId="0" xfId="312" applyNumberFormat="1" applyFont="1" applyFill="1" applyBorder="1" applyAlignment="1"/>
    <xf numFmtId="164" fontId="2" fillId="0" borderId="0" xfId="312" applyNumberFormat="1" applyFont="1" applyFill="1" applyBorder="1"/>
    <xf numFmtId="168" fontId="2" fillId="0" borderId="0" xfId="307" applyNumberFormat="1" applyFont="1" applyFill="1" applyBorder="1"/>
    <xf numFmtId="0" fontId="28" fillId="0" borderId="0" xfId="458" applyFont="1" applyAlignment="1">
      <alignment horizontal="center"/>
    </xf>
    <xf numFmtId="0" fontId="28" fillId="0" borderId="0" xfId="458" applyFont="1"/>
    <xf numFmtId="0" fontId="29" fillId="0" borderId="0" xfId="458" applyFont="1"/>
    <xf numFmtId="0" fontId="29" fillId="0" borderId="0" xfId="458" applyFont="1" applyAlignment="1">
      <alignment wrapText="1"/>
    </xf>
    <xf numFmtId="0" fontId="28" fillId="0" borderId="0" xfId="458" applyFont="1" applyFill="1"/>
    <xf numFmtId="0" fontId="29" fillId="0" borderId="0" xfId="458" applyFont="1" applyFill="1"/>
    <xf numFmtId="164" fontId="31" fillId="0" borderId="0" xfId="312" applyNumberFormat="1" applyFont="1"/>
    <xf numFmtId="0" fontId="1" fillId="0" borderId="0" xfId="507" applyFont="1" applyFill="1" applyBorder="1"/>
    <xf numFmtId="164" fontId="27" fillId="0" borderId="0" xfId="507" applyNumberFormat="1" applyFill="1" applyBorder="1"/>
    <xf numFmtId="43" fontId="1" fillId="0" borderId="0" xfId="312" applyFont="1" applyFill="1" applyBorder="1"/>
    <xf numFmtId="164" fontId="7" fillId="0" borderId="0" xfId="312" applyNumberFormat="1" applyFont="1" applyFill="1"/>
    <xf numFmtId="0" fontId="14" fillId="58" borderId="22" xfId="458" quotePrefix="1" applyFont="1" applyFill="1" applyBorder="1" applyAlignment="1">
      <alignment horizontal="right"/>
    </xf>
    <xf numFmtId="0" fontId="3" fillId="0" borderId="0" xfId="458" applyFont="1" applyAlignment="1">
      <alignment horizontal="center"/>
    </xf>
    <xf numFmtId="164" fontId="13" fillId="0" borderId="0" xfId="458" applyNumberFormat="1" applyFont="1" applyAlignment="1">
      <alignment horizontal="center"/>
    </xf>
    <xf numFmtId="164" fontId="20" fillId="0" borderId="11" xfId="312" quotePrefix="1" applyNumberFormat="1" applyFont="1" applyBorder="1" applyAlignment="1">
      <alignment horizontal="center"/>
    </xf>
    <xf numFmtId="164" fontId="11" fillId="0" borderId="0" xfId="312" applyNumberFormat="1" applyFont="1" applyFill="1"/>
    <xf numFmtId="164" fontId="11" fillId="60" borderId="21" xfId="312" applyNumberFormat="1" applyFont="1" applyFill="1" applyBorder="1" applyAlignment="1">
      <alignment horizontal="center"/>
    </xf>
    <xf numFmtId="164" fontId="2" fillId="58" borderId="14" xfId="312" applyNumberFormat="1" applyFont="1" applyFill="1" applyBorder="1" applyAlignment="1"/>
    <xf numFmtId="164" fontId="2" fillId="58" borderId="0" xfId="312" applyNumberFormat="1" applyFont="1" applyFill="1" applyBorder="1" applyAlignment="1"/>
    <xf numFmtId="164" fontId="2" fillId="58" borderId="13" xfId="312" applyNumberFormat="1" applyFont="1" applyFill="1" applyBorder="1" applyAlignment="1">
      <alignment horizontal="center" wrapText="1"/>
    </xf>
    <xf numFmtId="164" fontId="2" fillId="58" borderId="21" xfId="312" applyNumberFormat="1" applyFont="1" applyFill="1" applyBorder="1" applyAlignment="1">
      <alignment horizontal="center" wrapText="1"/>
    </xf>
    <xf numFmtId="0" fontId="29" fillId="0" borderId="0" xfId="458" applyNumberFormat="1" applyFont="1" applyAlignment="1">
      <alignment wrapText="1"/>
    </xf>
    <xf numFmtId="164" fontId="2" fillId="0" borderId="0" xfId="561" applyNumberFormat="1" applyFont="1" applyBorder="1" applyAlignment="1">
      <alignment horizontal="center"/>
    </xf>
    <xf numFmtId="168" fontId="18" fillId="0" borderId="0" xfId="495" applyNumberFormat="1"/>
    <xf numFmtId="164" fontId="26" fillId="0" borderId="0" xfId="312" applyNumberFormat="1" applyFont="1" applyFill="1"/>
    <xf numFmtId="164" fontId="13" fillId="0" borderId="0" xfId="312" applyNumberFormat="1" applyFont="1" applyFill="1" applyBorder="1"/>
    <xf numFmtId="164" fontId="83" fillId="0" borderId="0" xfId="312" applyNumberFormat="1" applyFont="1" applyBorder="1"/>
    <xf numFmtId="0" fontId="2" fillId="58" borderId="10" xfId="458" applyFont="1" applyFill="1" applyBorder="1" applyAlignment="1">
      <alignment horizontal="center"/>
    </xf>
    <xf numFmtId="0" fontId="2" fillId="58" borderId="20" xfId="458" applyFont="1" applyFill="1" applyBorder="1" applyAlignment="1">
      <alignment horizontal="center"/>
    </xf>
    <xf numFmtId="164" fontId="2" fillId="57" borderId="0" xfId="312" applyNumberFormat="1" applyFont="1" applyFill="1" applyBorder="1" applyAlignment="1">
      <alignment horizontal="center"/>
    </xf>
    <xf numFmtId="0" fontId="11" fillId="0" borderId="0" xfId="458" applyFont="1" applyAlignment="1">
      <alignment horizontal="right"/>
    </xf>
    <xf numFmtId="164" fontId="11" fillId="0" borderId="0" xfId="307" applyNumberFormat="1" applyFont="1"/>
    <xf numFmtId="0" fontId="2" fillId="58" borderId="12" xfId="458" applyFont="1" applyFill="1" applyBorder="1"/>
    <xf numFmtId="0" fontId="2" fillId="58" borderId="15" xfId="458" applyFont="1" applyFill="1" applyBorder="1" applyAlignment="1">
      <alignment wrapText="1"/>
    </xf>
    <xf numFmtId="0" fontId="2" fillId="24" borderId="15" xfId="458" applyFont="1" applyFill="1" applyBorder="1"/>
    <xf numFmtId="164" fontId="2" fillId="58" borderId="20" xfId="312" applyNumberFormat="1" applyFont="1" applyFill="1" applyBorder="1" applyAlignment="1">
      <alignment horizontal="center"/>
    </xf>
    <xf numFmtId="164" fontId="10" fillId="57" borderId="0" xfId="312" applyNumberFormat="1" applyFont="1" applyFill="1" applyBorder="1"/>
    <xf numFmtId="167" fontId="7" fillId="57" borderId="0" xfId="342" applyNumberFormat="1" applyFont="1" applyFill="1" applyBorder="1"/>
    <xf numFmtId="164" fontId="2" fillId="58" borderId="12" xfId="312" applyNumberFormat="1" applyFont="1" applyFill="1" applyBorder="1" applyAlignment="1">
      <alignment horizontal="center"/>
    </xf>
    <xf numFmtId="0" fontId="2" fillId="58" borderId="23" xfId="458" applyFont="1" applyFill="1" applyBorder="1" applyAlignment="1">
      <alignment horizontal="center"/>
    </xf>
    <xf numFmtId="0" fontId="87" fillId="0" borderId="0" xfId="458" applyFont="1" applyFill="1"/>
    <xf numFmtId="0" fontId="88" fillId="0" borderId="0" xfId="458" applyFont="1" applyFill="1"/>
    <xf numFmtId="0" fontId="2" fillId="58" borderId="20" xfId="458" applyFont="1" applyFill="1" applyBorder="1" applyAlignment="1">
      <alignment horizontal="center"/>
    </xf>
    <xf numFmtId="0" fontId="7" fillId="57" borderId="0" xfId="458" applyFont="1" applyFill="1" applyBorder="1"/>
    <xf numFmtId="0" fontId="7" fillId="0" borderId="0" xfId="458" applyFont="1" applyFill="1" applyBorder="1"/>
    <xf numFmtId="174" fontId="11" fillId="0" borderId="0" xfId="458" applyNumberFormat="1" applyFont="1"/>
    <xf numFmtId="174" fontId="3" fillId="0" borderId="0" xfId="458" applyNumberFormat="1" applyFont="1"/>
    <xf numFmtId="164" fontId="2" fillId="0" borderId="0" xfId="312" applyNumberFormat="1" applyFont="1" applyFill="1"/>
    <xf numFmtId="164" fontId="3" fillId="0" borderId="13" xfId="307" applyNumberFormat="1" applyFont="1" applyFill="1" applyBorder="1"/>
    <xf numFmtId="164" fontId="3" fillId="0" borderId="26" xfId="312" applyNumberFormat="1" applyFont="1" applyBorder="1"/>
    <xf numFmtId="164" fontId="62" fillId="0" borderId="0" xfId="312" applyNumberFormat="1" applyFont="1" applyFill="1"/>
    <xf numFmtId="164" fontId="11" fillId="0" borderId="0" xfId="495" applyNumberFormat="1" applyFont="1" applyBorder="1"/>
    <xf numFmtId="164" fontId="2" fillId="58" borderId="21" xfId="312" applyNumberFormat="1" applyFont="1" applyFill="1" applyBorder="1" applyAlignment="1">
      <alignment horizontal="center" wrapText="1"/>
    </xf>
    <xf numFmtId="164" fontId="2" fillId="58" borderId="21" xfId="312" applyNumberFormat="1" applyFont="1" applyFill="1" applyBorder="1" applyAlignment="1">
      <alignment horizontal="center" wrapText="1"/>
    </xf>
    <xf numFmtId="164" fontId="2" fillId="58" borderId="0" xfId="312" applyNumberFormat="1" applyFont="1" applyFill="1" applyBorder="1" applyAlignment="1">
      <alignment horizontal="center" wrapText="1"/>
    </xf>
    <xf numFmtId="170" fontId="2" fillId="58" borderId="21" xfId="307" applyNumberFormat="1" applyFont="1" applyFill="1" applyBorder="1" applyAlignment="1">
      <alignment horizontal="center" wrapText="1"/>
    </xf>
    <xf numFmtId="171" fontId="1" fillId="0" borderId="0" xfId="507" applyNumberFormat="1" applyFont="1" applyFill="1" applyBorder="1" applyAlignment="1">
      <alignment horizontal="center"/>
    </xf>
    <xf numFmtId="41" fontId="3" fillId="0" borderId="14" xfId="312" applyNumberFormat="1" applyFont="1" applyFill="1" applyBorder="1"/>
    <xf numFmtId="164" fontId="2" fillId="61" borderId="19" xfId="312" applyNumberFormat="1" applyFont="1" applyFill="1" applyBorder="1" applyAlignment="1">
      <alignment horizontal="center" wrapText="1"/>
    </xf>
    <xf numFmtId="164" fontId="81" fillId="0" borderId="0" xfId="312" applyNumberFormat="1" applyFont="1" applyFill="1"/>
    <xf numFmtId="167" fontId="89" fillId="0" borderId="26" xfId="343" applyNumberFormat="1" applyFont="1" applyFill="1" applyBorder="1"/>
    <xf numFmtId="164" fontId="89" fillId="0" borderId="26" xfId="312" applyNumberFormat="1" applyFont="1" applyFill="1" applyBorder="1"/>
    <xf numFmtId="10" fontId="3" fillId="0" borderId="0" xfId="561" applyNumberFormat="1" applyFont="1"/>
    <xf numFmtId="167" fontId="3" fillId="0" borderId="0" xfId="343" applyNumberFormat="1" applyFont="1" applyAlignment="1"/>
    <xf numFmtId="0" fontId="83" fillId="0" borderId="0" xfId="0" applyFont="1" applyAlignment="1">
      <alignment horizontal="center"/>
    </xf>
    <xf numFmtId="167" fontId="1" fillId="0" borderId="0" xfId="495" applyNumberFormat="1" applyFont="1" applyBorder="1"/>
    <xf numFmtId="164" fontId="2" fillId="58" borderId="15" xfId="312" applyNumberFormat="1" applyFont="1" applyFill="1" applyBorder="1" applyAlignment="1"/>
    <xf numFmtId="164" fontId="2" fillId="58" borderId="11" xfId="312" applyNumberFormat="1" applyFont="1" applyFill="1" applyBorder="1" applyAlignment="1"/>
    <xf numFmtId="164" fontId="2" fillId="58" borderId="15" xfId="312" applyNumberFormat="1" applyFont="1" applyFill="1" applyBorder="1" applyAlignment="1">
      <alignment horizontal="center" wrapText="1"/>
    </xf>
    <xf numFmtId="164" fontId="2" fillId="58" borderId="0" xfId="312" applyNumberFormat="1" applyFont="1" applyFill="1" applyBorder="1" applyAlignment="1">
      <alignment horizontal="center" wrapText="1"/>
    </xf>
    <xf numFmtId="164" fontId="2" fillId="58" borderId="14" xfId="312" applyNumberFormat="1" applyFont="1" applyFill="1" applyBorder="1" applyAlignment="1">
      <alignment horizontal="center" wrapText="1"/>
    </xf>
    <xf numFmtId="164" fontId="8" fillId="58" borderId="23" xfId="312" applyNumberFormat="1" applyFont="1" applyFill="1" applyBorder="1" applyAlignment="1">
      <alignment horizontal="center"/>
    </xf>
    <xf numFmtId="164" fontId="2" fillId="58" borderId="21" xfId="312" applyNumberFormat="1" applyFont="1" applyFill="1" applyBorder="1" applyAlignment="1">
      <alignment horizontal="center" wrapText="1"/>
    </xf>
    <xf numFmtId="164" fontId="8" fillId="58" borderId="23" xfId="312" applyNumberFormat="1" applyFont="1" applyFill="1" applyBorder="1" applyAlignment="1"/>
    <xf numFmtId="164" fontId="83" fillId="0" borderId="0" xfId="312" applyNumberFormat="1" applyFont="1" applyBorder="1"/>
    <xf numFmtId="164" fontId="3" fillId="0" borderId="0" xfId="312" applyNumberFormat="1" applyFont="1" applyAlignment="1">
      <alignment horizontal="center"/>
    </xf>
    <xf numFmtId="164" fontId="3" fillId="0" borderId="0" xfId="312" applyNumberFormat="1" applyFont="1" applyFill="1" applyAlignment="1">
      <alignment horizontal="center"/>
    </xf>
    <xf numFmtId="164" fontId="3" fillId="0" borderId="0" xfId="312" applyNumberFormat="1" applyFont="1" applyBorder="1" applyAlignment="1">
      <alignment horizontal="center"/>
    </xf>
    <xf numFmtId="164" fontId="3" fillId="0" borderId="0" xfId="312" applyNumberFormat="1" applyFont="1" applyFill="1" applyBorder="1" applyAlignment="1">
      <alignment horizontal="center"/>
    </xf>
    <xf numFmtId="164" fontId="3" fillId="0" borderId="15" xfId="312" applyNumberFormat="1" applyFont="1" applyFill="1" applyBorder="1"/>
    <xf numFmtId="164" fontId="86" fillId="0" borderId="0" xfId="312" applyNumberFormat="1" applyFont="1" applyFill="1"/>
    <xf numFmtId="164" fontId="2" fillId="24" borderId="22" xfId="307" applyNumberFormat="1" applyFont="1" applyFill="1" applyBorder="1"/>
    <xf numFmtId="167" fontId="3" fillId="0" borderId="0" xfId="343" applyNumberFormat="1" applyFont="1" applyFill="1" applyAlignment="1"/>
    <xf numFmtId="0" fontId="11" fillId="0" borderId="0" xfId="458" applyFont="1" applyFill="1"/>
    <xf numFmtId="170" fontId="3" fillId="0" borderId="13" xfId="307" applyNumberFormat="1" applyFont="1" applyBorder="1"/>
    <xf numFmtId="170" fontId="2" fillId="24" borderId="17" xfId="307" applyNumberFormat="1" applyFont="1" applyFill="1" applyBorder="1"/>
    <xf numFmtId="170" fontId="2" fillId="24" borderId="16" xfId="307" applyNumberFormat="1" applyFont="1" applyFill="1" applyBorder="1"/>
    <xf numFmtId="170" fontId="2" fillId="24" borderId="22" xfId="307" applyNumberFormat="1" applyFont="1" applyFill="1" applyBorder="1"/>
    <xf numFmtId="167" fontId="11" fillId="0" borderId="0" xfId="495" applyNumberFormat="1" applyFont="1" applyBorder="1"/>
    <xf numFmtId="164" fontId="25" fillId="0" borderId="10" xfId="495" applyNumberFormat="1" applyFont="1" applyFill="1" applyBorder="1"/>
    <xf numFmtId="164" fontId="25" fillId="0" borderId="20" xfId="312" applyNumberFormat="1" applyFont="1" applyFill="1" applyBorder="1"/>
    <xf numFmtId="164" fontId="25" fillId="0" borderId="0" xfId="495" applyNumberFormat="1" applyFont="1" applyFill="1" applyBorder="1"/>
    <xf numFmtId="164" fontId="25" fillId="0" borderId="13" xfId="312" applyNumberFormat="1" applyFont="1" applyFill="1" applyBorder="1"/>
    <xf numFmtId="180" fontId="18" fillId="0" borderId="0" xfId="561" applyNumberFormat="1" applyFont="1"/>
    <xf numFmtId="164" fontId="90" fillId="0" borderId="0" xfId="312" applyNumberFormat="1" applyFont="1" applyFill="1"/>
    <xf numFmtId="170" fontId="90" fillId="0" borderId="0" xfId="312" applyNumberFormat="1" applyFont="1" applyFill="1"/>
    <xf numFmtId="164" fontId="90" fillId="0" borderId="0" xfId="312" applyNumberFormat="1" applyFont="1" applyFill="1" applyBorder="1"/>
    <xf numFmtId="170" fontId="90" fillId="0" borderId="0" xfId="307" applyNumberFormat="1" applyFont="1" applyFill="1"/>
    <xf numFmtId="0" fontId="13" fillId="0" borderId="0" xfId="458" applyFont="1" applyFill="1"/>
    <xf numFmtId="0" fontId="11" fillId="0" borderId="0" xfId="458" quotePrefix="1" applyFont="1" applyFill="1" applyAlignment="1">
      <alignment horizontal="center"/>
    </xf>
    <xf numFmtId="0" fontId="11" fillId="0" borderId="0" xfId="458" applyFont="1" applyFill="1" applyAlignment="1">
      <alignment horizontal="center"/>
    </xf>
    <xf numFmtId="0" fontId="32" fillId="0" borderId="0" xfId="458" applyFont="1" applyFill="1" applyBorder="1" applyAlignment="1">
      <alignment horizontal="center" wrapText="1"/>
    </xf>
    <xf numFmtId="167" fontId="32" fillId="0" borderId="0" xfId="458" applyNumberFormat="1" applyFont="1" applyFill="1"/>
    <xf numFmtId="164" fontId="83" fillId="0" borderId="0" xfId="312" applyNumberFormat="1" applyFont="1" applyFill="1" applyBorder="1"/>
    <xf numFmtId="167" fontId="2" fillId="0" borderId="0" xfId="342" applyNumberFormat="1" applyFont="1" applyFill="1" applyBorder="1"/>
    <xf numFmtId="164" fontId="11" fillId="0" borderId="0" xfId="307" applyNumberFormat="1" applyFont="1" applyFill="1"/>
    <xf numFmtId="0" fontId="10" fillId="0" borderId="0" xfId="458" applyFont="1" applyFill="1" applyAlignment="1">
      <alignment horizontal="center"/>
    </xf>
    <xf numFmtId="164" fontId="11" fillId="0" borderId="26" xfId="458" applyNumberFormat="1" applyFont="1" applyFill="1" applyBorder="1"/>
    <xf numFmtId="164" fontId="1" fillId="0" borderId="0" xfId="312" applyNumberFormat="1" applyFont="1" applyFill="1" applyBorder="1"/>
    <xf numFmtId="164" fontId="1" fillId="0" borderId="0" xfId="312" applyNumberFormat="1" applyFont="1" applyFill="1"/>
    <xf numFmtId="166" fontId="13" fillId="0" borderId="0" xfId="561" applyNumberFormat="1" applyFont="1" applyFill="1"/>
    <xf numFmtId="164" fontId="3" fillId="0" borderId="0" xfId="312" applyNumberFormat="1" applyFont="1" applyAlignment="1">
      <alignment horizontal="right"/>
    </xf>
    <xf numFmtId="164" fontId="3" fillId="0" borderId="10" xfId="307" applyNumberFormat="1" applyFont="1" applyFill="1" applyBorder="1"/>
    <xf numFmtId="164" fontId="3" fillId="0" borderId="0" xfId="307" applyNumberFormat="1" applyFont="1" applyFill="1" applyBorder="1"/>
    <xf numFmtId="164" fontId="3" fillId="0" borderId="11" xfId="307" applyNumberFormat="1" applyFont="1" applyFill="1" applyBorder="1"/>
    <xf numFmtId="0" fontId="2" fillId="0" borderId="0" xfId="458" applyFont="1" applyFill="1"/>
    <xf numFmtId="0" fontId="3" fillId="0" borderId="0" xfId="458" applyFont="1" applyFill="1"/>
    <xf numFmtId="164" fontId="13" fillId="59" borderId="0" xfId="312" applyNumberFormat="1" applyFont="1" applyFill="1" applyBorder="1"/>
    <xf numFmtId="43" fontId="3" fillId="0" borderId="0" xfId="307" applyFont="1" applyFill="1"/>
    <xf numFmtId="164" fontId="2" fillId="24" borderId="19" xfId="342" applyNumberFormat="1" applyFont="1" applyFill="1" applyBorder="1"/>
    <xf numFmtId="164" fontId="3" fillId="62" borderId="13" xfId="312" applyNumberFormat="1" applyFont="1" applyFill="1" applyBorder="1"/>
    <xf numFmtId="164" fontId="3" fillId="0" borderId="0" xfId="307" applyNumberFormat="1" applyFont="1"/>
    <xf numFmtId="164" fontId="3" fillId="0" borderId="20" xfId="307" applyNumberFormat="1" applyFont="1" applyFill="1" applyBorder="1"/>
    <xf numFmtId="164" fontId="3" fillId="57" borderId="20" xfId="307" applyNumberFormat="1" applyFont="1" applyFill="1" applyBorder="1"/>
    <xf numFmtId="164" fontId="3" fillId="57" borderId="13" xfId="307" applyNumberFormat="1" applyFont="1" applyFill="1" applyBorder="1"/>
    <xf numFmtId="164" fontId="3" fillId="0" borderId="14" xfId="307" applyNumberFormat="1" applyFont="1" applyBorder="1"/>
    <xf numFmtId="164" fontId="3" fillId="0" borderId="21" xfId="307" applyNumberFormat="1" applyFont="1" applyBorder="1"/>
    <xf numFmtId="164" fontId="2" fillId="24" borderId="17" xfId="307" applyNumberFormat="1" applyFont="1" applyFill="1" applyBorder="1"/>
    <xf numFmtId="164" fontId="86" fillId="24" borderId="23" xfId="307" applyNumberFormat="1" applyFont="1" applyFill="1" applyBorder="1"/>
    <xf numFmtId="164" fontId="3" fillId="58" borderId="23" xfId="307" applyNumberFormat="1" applyFont="1" applyFill="1" applyBorder="1"/>
    <xf numFmtId="164" fontId="86" fillId="24" borderId="21" xfId="307" applyNumberFormat="1" applyFont="1" applyFill="1" applyBorder="1"/>
    <xf numFmtId="164" fontId="3" fillId="58" borderId="21" xfId="307" applyNumberFormat="1" applyFont="1" applyFill="1" applyBorder="1"/>
    <xf numFmtId="164" fontId="86" fillId="24" borderId="22" xfId="307" applyNumberFormat="1" applyFont="1" applyFill="1" applyBorder="1"/>
    <xf numFmtId="164" fontId="3" fillId="58" borderId="22" xfId="307" applyNumberFormat="1" applyFont="1" applyFill="1" applyBorder="1"/>
    <xf numFmtId="164" fontId="1" fillId="0" borderId="14" xfId="307" applyNumberFormat="1" applyFont="1" applyFill="1" applyBorder="1"/>
    <xf numFmtId="164" fontId="3" fillId="0" borderId="12" xfId="307" applyNumberFormat="1" applyFont="1" applyBorder="1"/>
    <xf numFmtId="164" fontId="3" fillId="0" borderId="12" xfId="307" applyNumberFormat="1" applyFont="1" applyFill="1" applyBorder="1"/>
    <xf numFmtId="164" fontId="3" fillId="0" borderId="23" xfId="307" applyNumberFormat="1" applyFont="1" applyBorder="1"/>
    <xf numFmtId="164" fontId="3" fillId="0" borderId="23" xfId="307" applyNumberFormat="1" applyFont="1" applyFill="1" applyBorder="1"/>
    <xf numFmtId="164" fontId="3" fillId="0" borderId="20" xfId="307" applyNumberFormat="1" applyFont="1" applyBorder="1"/>
    <xf numFmtId="164" fontId="3" fillId="0" borderId="14" xfId="307" applyNumberFormat="1" applyFont="1" applyFill="1" applyBorder="1"/>
    <xf numFmtId="164" fontId="3" fillId="0" borderId="21" xfId="307" applyNumberFormat="1" applyFont="1" applyFill="1" applyBorder="1"/>
    <xf numFmtId="164" fontId="3" fillId="0" borderId="13" xfId="307" applyNumberFormat="1" applyFont="1" applyBorder="1"/>
    <xf numFmtId="164" fontId="3" fillId="0" borderId="15" xfId="307" applyNumberFormat="1" applyFont="1" applyBorder="1"/>
    <xf numFmtId="164" fontId="3" fillId="0" borderId="16" xfId="307" applyNumberFormat="1" applyFont="1" applyFill="1" applyBorder="1"/>
    <xf numFmtId="164" fontId="3" fillId="0" borderId="15" xfId="307" applyNumberFormat="1" applyFont="1" applyFill="1" applyBorder="1"/>
    <xf numFmtId="164" fontId="3" fillId="0" borderId="24" xfId="307" applyNumberFormat="1" applyFont="1" applyBorder="1"/>
    <xf numFmtId="164" fontId="3" fillId="0" borderId="24" xfId="307" applyNumberFormat="1" applyFont="1" applyFill="1" applyBorder="1"/>
    <xf numFmtId="164" fontId="3" fillId="0" borderId="16" xfId="307" applyNumberFormat="1" applyFont="1" applyBorder="1"/>
    <xf numFmtId="164" fontId="2" fillId="24" borderId="16" xfId="307" applyNumberFormat="1" applyFont="1" applyFill="1" applyBorder="1"/>
    <xf numFmtId="164" fontId="3" fillId="0" borderId="0" xfId="307" applyNumberFormat="1" applyFont="1" applyFill="1"/>
    <xf numFmtId="164" fontId="3" fillId="0" borderId="26" xfId="307" applyNumberFormat="1" applyFont="1" applyFill="1" applyBorder="1"/>
    <xf numFmtId="164" fontId="2" fillId="24" borderId="15" xfId="307" applyNumberFormat="1" applyFont="1" applyFill="1" applyBorder="1"/>
    <xf numFmtId="164" fontId="2" fillId="24" borderId="11" xfId="307" applyNumberFormat="1" applyFont="1" applyFill="1" applyBorder="1"/>
    <xf numFmtId="164" fontId="2" fillId="24" borderId="24" xfId="307" applyNumberFormat="1" applyFont="1" applyFill="1" applyBorder="1"/>
    <xf numFmtId="164" fontId="2" fillId="0" borderId="0" xfId="307" applyNumberFormat="1" applyFont="1" applyFill="1" applyBorder="1"/>
    <xf numFmtId="164" fontId="3" fillId="0" borderId="0" xfId="307" applyNumberFormat="1" applyFont="1" applyAlignment="1">
      <alignment horizontal="center"/>
    </xf>
    <xf numFmtId="164" fontId="3" fillId="0" borderId="10" xfId="307" applyNumberFormat="1" applyFont="1" applyBorder="1"/>
    <xf numFmtId="164" fontId="3" fillId="0" borderId="0" xfId="307" applyNumberFormat="1" applyFont="1" applyBorder="1"/>
    <xf numFmtId="164" fontId="3" fillId="0" borderId="11" xfId="307" applyNumberFormat="1" applyFont="1" applyBorder="1"/>
    <xf numFmtId="164" fontId="3" fillId="0" borderId="11" xfId="312" applyNumberFormat="1" applyFont="1" applyFill="1" applyBorder="1"/>
    <xf numFmtId="164" fontId="3" fillId="0" borderId="0" xfId="312" applyNumberFormat="1" applyFont="1" applyFill="1" applyAlignment="1">
      <alignment horizontal="right"/>
    </xf>
    <xf numFmtId="0" fontId="27" fillId="0" borderId="0" xfId="507" applyFill="1"/>
    <xf numFmtId="164" fontId="3" fillId="63" borderId="14" xfId="312" applyNumberFormat="1" applyFont="1" applyFill="1" applyBorder="1"/>
    <xf numFmtId="164" fontId="3" fillId="63" borderId="0" xfId="312" applyNumberFormat="1" applyFont="1" applyFill="1" applyBorder="1"/>
    <xf numFmtId="164" fontId="3" fillId="63" borderId="14" xfId="307" applyNumberFormat="1" applyFont="1" applyFill="1" applyBorder="1"/>
    <xf numFmtId="164" fontId="3" fillId="63" borderId="0" xfId="307" applyNumberFormat="1" applyFont="1" applyFill="1" applyBorder="1"/>
    <xf numFmtId="164" fontId="3" fillId="63" borderId="21" xfId="307" applyNumberFormat="1" applyFont="1" applyFill="1" applyBorder="1"/>
    <xf numFmtId="164" fontId="3" fillId="63" borderId="13" xfId="307" applyNumberFormat="1" applyFont="1" applyFill="1" applyBorder="1"/>
    <xf numFmtId="164" fontId="3" fillId="63" borderId="0" xfId="307" applyNumberFormat="1" applyFont="1" applyFill="1"/>
    <xf numFmtId="170" fontId="3" fillId="0" borderId="0" xfId="307" applyNumberFormat="1" applyFont="1" applyFill="1"/>
    <xf numFmtId="0" fontId="29" fillId="0" borderId="0" xfId="458" applyFont="1" applyFill="1" applyAlignment="1">
      <alignment wrapText="1"/>
    </xf>
    <xf numFmtId="167" fontId="84" fillId="58" borderId="18" xfId="342" applyNumberFormat="1" applyFont="1" applyFill="1" applyBorder="1"/>
    <xf numFmtId="165" fontId="4" fillId="0" borderId="0" xfId="312" applyNumberFormat="1" applyFont="1" applyAlignment="1">
      <alignment horizontal="center"/>
    </xf>
    <xf numFmtId="0" fontId="0" fillId="0" borderId="0" xfId="0"/>
    <xf numFmtId="164" fontId="8" fillId="0" borderId="0" xfId="312" applyNumberFormat="1" applyFont="1"/>
    <xf numFmtId="164" fontId="9" fillId="0" borderId="0" xfId="312" applyNumberFormat="1" applyFont="1"/>
    <xf numFmtId="164" fontId="2" fillId="57" borderId="0" xfId="312" applyNumberFormat="1" applyFont="1" applyFill="1"/>
    <xf numFmtId="164" fontId="2" fillId="24" borderId="22" xfId="312" applyNumberFormat="1" applyFont="1" applyFill="1" applyBorder="1" applyAlignment="1">
      <alignment horizontal="center" wrapText="1"/>
    </xf>
    <xf numFmtId="41" fontId="3" fillId="0" borderId="21" xfId="312" applyNumberFormat="1" applyFont="1" applyFill="1" applyBorder="1"/>
    <xf numFmtId="166" fontId="3" fillId="0" borderId="0" xfId="561" applyNumberFormat="1" applyFont="1" applyBorder="1"/>
    <xf numFmtId="0" fontId="11" fillId="0" borderId="0" xfId="0" applyFont="1"/>
    <xf numFmtId="177" fontId="11" fillId="0" borderId="0" xfId="0" applyNumberFormat="1" applyFont="1"/>
    <xf numFmtId="39" fontId="11" fillId="0" borderId="0" xfId="0" applyNumberFormat="1" applyFont="1"/>
    <xf numFmtId="0" fontId="11" fillId="0" borderId="0" xfId="0" applyFont="1" applyFill="1"/>
    <xf numFmtId="39" fontId="11" fillId="0" borderId="0" xfId="0" applyNumberFormat="1" applyFont="1" applyFill="1"/>
    <xf numFmtId="166" fontId="2" fillId="24" borderId="18" xfId="561" applyNumberFormat="1" applyFont="1" applyFill="1" applyBorder="1"/>
    <xf numFmtId="164" fontId="2" fillId="0" borderId="0" xfId="312" applyNumberFormat="1" applyFont="1" applyBorder="1" applyAlignment="1">
      <alignment horizontal="right"/>
    </xf>
    <xf numFmtId="168" fontId="3" fillId="0" borderId="0" xfId="343" applyNumberFormat="1" applyFont="1" applyBorder="1"/>
    <xf numFmtId="164" fontId="67" fillId="0" borderId="0" xfId="312" applyNumberFormat="1" applyFont="1" applyFill="1"/>
    <xf numFmtId="164" fontId="81" fillId="0" borderId="0" xfId="312" applyNumberFormat="1" applyFont="1" applyFill="1"/>
    <xf numFmtId="167" fontId="89" fillId="0" borderId="26" xfId="343" applyNumberFormat="1" applyFont="1" applyFill="1" applyBorder="1"/>
    <xf numFmtId="167" fontId="67" fillId="0" borderId="0" xfId="343" applyNumberFormat="1" applyFont="1" applyFill="1" applyBorder="1"/>
    <xf numFmtId="164" fontId="85" fillId="0" borderId="0" xfId="312" applyNumberFormat="1" applyFont="1"/>
    <xf numFmtId="164" fontId="81" fillId="0" borderId="0" xfId="312" applyNumberFormat="1" applyFont="1"/>
    <xf numFmtId="164" fontId="1" fillId="0" borderId="21" xfId="307" applyNumberFormat="1" applyFont="1" applyFill="1" applyBorder="1"/>
    <xf numFmtId="164" fontId="1" fillId="0" borderId="23" xfId="307" applyNumberFormat="1" applyFont="1" applyFill="1" applyBorder="1"/>
    <xf numFmtId="164" fontId="67" fillId="0" borderId="0" xfId="307" applyNumberFormat="1" applyFont="1" applyFill="1" applyBorder="1"/>
    <xf numFmtId="164" fontId="67" fillId="0" borderId="21" xfId="307" applyNumberFormat="1" applyFont="1" applyFill="1" applyBorder="1"/>
    <xf numFmtId="164" fontId="1" fillId="0" borderId="24" xfId="307" applyNumberFormat="1" applyFont="1" applyFill="1" applyBorder="1"/>
    <xf numFmtId="164" fontId="67" fillId="0" borderId="24" xfId="307" applyNumberFormat="1" applyFont="1" applyFill="1" applyBorder="1"/>
    <xf numFmtId="164" fontId="1" fillId="60" borderId="24" xfId="307" applyNumberFormat="1" applyFont="1" applyFill="1" applyBorder="1"/>
    <xf numFmtId="164" fontId="1" fillId="60" borderId="22" xfId="307" applyNumberFormat="1" applyFont="1" applyFill="1" applyBorder="1"/>
    <xf numFmtId="164" fontId="1" fillId="60" borderId="18" xfId="307" applyNumberFormat="1" applyFont="1" applyFill="1" applyBorder="1"/>
    <xf numFmtId="164" fontId="67" fillId="60" borderId="22" xfId="307" applyNumberFormat="1" applyFont="1" applyFill="1" applyBorder="1"/>
    <xf numFmtId="43" fontId="45" fillId="0" borderId="0" xfId="307" applyFont="1" applyFill="1" applyBorder="1" applyAlignment="1"/>
    <xf numFmtId="0" fontId="45" fillId="0" borderId="0" xfId="458" applyFont="1" applyFill="1" applyBorder="1" applyAlignment="1"/>
    <xf numFmtId="0" fontId="2" fillId="24" borderId="23" xfId="458" applyFont="1" applyFill="1" applyBorder="1" applyAlignment="1">
      <alignment wrapText="1"/>
    </xf>
    <xf numFmtId="0" fontId="2" fillId="24" borderId="28" xfId="458" applyFont="1" applyFill="1" applyBorder="1"/>
    <xf numFmtId="0" fontId="2" fillId="24" borderId="12" xfId="458" applyFont="1" applyFill="1" applyBorder="1" applyAlignment="1">
      <alignment horizontal="center" wrapText="1"/>
    </xf>
    <xf numFmtId="0" fontId="2" fillId="24" borderId="10" xfId="458" applyFont="1" applyFill="1" applyBorder="1" applyAlignment="1">
      <alignment horizontal="center" wrapText="1"/>
    </xf>
    <xf numFmtId="0" fontId="2" fillId="24" borderId="20" xfId="458" applyFont="1" applyFill="1" applyBorder="1" applyAlignment="1">
      <alignment horizontal="center" wrapText="1"/>
    </xf>
    <xf numFmtId="167" fontId="2" fillId="24" borderId="15" xfId="342" applyNumberFormat="1" applyFont="1" applyFill="1" applyBorder="1"/>
    <xf numFmtId="167" fontId="2" fillId="24" borderId="11" xfId="342" applyNumberFormat="1" applyFont="1" applyFill="1" applyBorder="1"/>
    <xf numFmtId="167" fontId="2" fillId="24" borderId="16" xfId="342" applyNumberFormat="1" applyFont="1" applyFill="1" applyBorder="1"/>
    <xf numFmtId="164" fontId="3" fillId="0" borderId="12" xfId="312" applyNumberFormat="1" applyFont="1" applyFill="1" applyBorder="1"/>
    <xf numFmtId="0" fontId="84" fillId="58" borderId="19" xfId="0" applyFont="1" applyFill="1" applyBorder="1" applyAlignment="1">
      <alignment horizontal="center"/>
    </xf>
    <xf numFmtId="166" fontId="3" fillId="0" borderId="20" xfId="561" applyNumberFormat="1" applyFont="1" applyBorder="1"/>
    <xf numFmtId="166" fontId="3" fillId="0" borderId="13" xfId="561" applyNumberFormat="1" applyFont="1" applyBorder="1"/>
    <xf numFmtId="166" fontId="3" fillId="0" borderId="16" xfId="561" applyNumberFormat="1" applyFont="1" applyBorder="1"/>
    <xf numFmtId="164" fontId="62" fillId="0" borderId="0" xfId="312" applyNumberFormat="1" applyFont="1" applyFill="1"/>
    <xf numFmtId="164" fontId="0" fillId="0" borderId="0" xfId="0" applyNumberFormat="1"/>
    <xf numFmtId="0" fontId="11" fillId="60" borderId="12" xfId="508" applyFont="1" applyFill="1" applyBorder="1" applyAlignment="1">
      <alignment horizontal="center"/>
    </xf>
    <xf numFmtId="0" fontId="11" fillId="60" borderId="23" xfId="508" applyFont="1" applyFill="1" applyBorder="1" applyAlignment="1">
      <alignment horizontal="center"/>
    </xf>
    <xf numFmtId="0" fontId="11" fillId="60" borderId="14" xfId="508" applyFont="1" applyFill="1" applyBorder="1" applyAlignment="1">
      <alignment horizontal="center"/>
    </xf>
    <xf numFmtId="0" fontId="11" fillId="60" borderId="21" xfId="508" applyFont="1" applyFill="1" applyBorder="1" applyAlignment="1">
      <alignment horizontal="center"/>
    </xf>
    <xf numFmtId="0" fontId="11" fillId="60" borderId="15" xfId="508" applyFont="1" applyFill="1" applyBorder="1" applyAlignment="1">
      <alignment horizontal="center"/>
    </xf>
    <xf numFmtId="0" fontId="11" fillId="60" borderId="24" xfId="508" applyFont="1" applyFill="1" applyBorder="1" applyAlignment="1">
      <alignment horizontal="center"/>
    </xf>
    <xf numFmtId="164" fontId="3" fillId="0" borderId="10" xfId="312" applyNumberFormat="1" applyFont="1" applyFill="1" applyBorder="1"/>
    <xf numFmtId="164" fontId="25" fillId="0" borderId="12" xfId="312" applyNumberFormat="1" applyFont="1" applyFill="1" applyBorder="1"/>
    <xf numFmtId="164" fontId="25" fillId="0" borderId="10" xfId="312" applyNumberFormat="1" applyFont="1" applyFill="1" applyBorder="1"/>
    <xf numFmtId="164" fontId="25" fillId="0" borderId="14" xfId="312" applyNumberFormat="1" applyFont="1" applyFill="1" applyBorder="1"/>
    <xf numFmtId="164" fontId="25" fillId="0" borderId="0" xfId="312" applyNumberFormat="1" applyFont="1" applyFill="1" applyBorder="1"/>
    <xf numFmtId="164" fontId="3" fillId="64" borderId="14" xfId="312" applyNumberFormat="1" applyFont="1" applyFill="1" applyBorder="1"/>
    <xf numFmtId="164" fontId="3" fillId="64" borderId="0" xfId="312" applyNumberFormat="1" applyFont="1" applyFill="1" applyBorder="1"/>
    <xf numFmtId="164" fontId="3" fillId="64" borderId="14" xfId="307" applyNumberFormat="1" applyFont="1" applyFill="1" applyBorder="1"/>
    <xf numFmtId="164" fontId="3" fillId="64" borderId="0" xfId="307" applyNumberFormat="1" applyFont="1" applyFill="1" applyBorder="1"/>
    <xf numFmtId="164" fontId="3" fillId="64" borderId="13" xfId="307" applyNumberFormat="1" applyFont="1" applyFill="1" applyBorder="1"/>
    <xf numFmtId="164" fontId="3" fillId="64" borderId="21" xfId="307" applyNumberFormat="1" applyFont="1" applyFill="1" applyBorder="1"/>
    <xf numFmtId="164" fontId="2" fillId="0" borderId="11" xfId="312" applyNumberFormat="1" applyFont="1" applyFill="1" applyBorder="1" applyAlignment="1"/>
    <xf numFmtId="164" fontId="2" fillId="0" borderId="0" xfId="312" applyNumberFormat="1" applyFont="1" applyFill="1" applyBorder="1" applyAlignment="1"/>
    <xf numFmtId="164" fontId="2" fillId="0" borderId="0" xfId="312" applyNumberFormat="1" applyFont="1" applyBorder="1"/>
    <xf numFmtId="0" fontId="13" fillId="0" borderId="14" xfId="458" applyFont="1" applyFill="1" applyBorder="1"/>
    <xf numFmtId="164" fontId="83" fillId="0" borderId="0" xfId="0" applyNumberFormat="1" applyFont="1" applyFill="1" applyBorder="1"/>
    <xf numFmtId="164" fontId="3" fillId="0" borderId="23" xfId="312" applyNumberFormat="1" applyFont="1" applyBorder="1"/>
    <xf numFmtId="164" fontId="3" fillId="0" borderId="21" xfId="312" applyNumberFormat="1" applyFont="1" applyBorder="1"/>
    <xf numFmtId="164" fontId="3" fillId="0" borderId="24" xfId="312" applyNumberFormat="1" applyFont="1" applyBorder="1"/>
    <xf numFmtId="164" fontId="13" fillId="0" borderId="21" xfId="307" quotePrefix="1" applyNumberFormat="1" applyFont="1" applyFill="1" applyBorder="1" applyAlignment="1">
      <alignment horizontal="right"/>
    </xf>
    <xf numFmtId="164" fontId="26" fillId="0" borderId="0" xfId="312" applyNumberFormat="1" applyFont="1" applyFill="1" applyBorder="1"/>
    <xf numFmtId="170" fontId="3" fillId="0" borderId="0" xfId="312" applyNumberFormat="1" applyFont="1" applyFill="1" applyBorder="1"/>
    <xf numFmtId="164" fontId="27" fillId="0" borderId="0" xfId="507" applyNumberFormat="1"/>
    <xf numFmtId="0" fontId="86" fillId="0" borderId="0" xfId="0" applyFont="1" applyAlignment="1">
      <alignment vertical="center"/>
    </xf>
    <xf numFmtId="164" fontId="85" fillId="0" borderId="0" xfId="312" applyNumberFormat="1" applyFont="1" applyFill="1"/>
    <xf numFmtId="164" fontId="62" fillId="0" borderId="0" xfId="312" applyNumberFormat="1" applyFont="1" applyFill="1"/>
    <xf numFmtId="164" fontId="8" fillId="58" borderId="10" xfId="312" applyNumberFormat="1" applyFont="1" applyFill="1" applyBorder="1" applyAlignment="1">
      <alignment horizontal="center"/>
    </xf>
    <xf numFmtId="164" fontId="8" fillId="58" borderId="20" xfId="312" applyNumberFormat="1" applyFont="1" applyFill="1" applyBorder="1" applyAlignment="1">
      <alignment horizontal="center"/>
    </xf>
    <xf numFmtId="164" fontId="3" fillId="0" borderId="20" xfId="312" applyNumberFormat="1" applyFont="1" applyFill="1" applyBorder="1"/>
    <xf numFmtId="164" fontId="3" fillId="0" borderId="16" xfId="312" applyNumberFormat="1" applyFont="1" applyFill="1" applyBorder="1"/>
    <xf numFmtId="0" fontId="1" fillId="0" borderId="0" xfId="495" applyFont="1"/>
    <xf numFmtId="41" fontId="3" fillId="0" borderId="13" xfId="312" applyNumberFormat="1" applyFont="1" applyFill="1" applyBorder="1"/>
    <xf numFmtId="164" fontId="2" fillId="58" borderId="11" xfId="312" applyNumberFormat="1" applyFont="1" applyFill="1" applyBorder="1" applyAlignment="1">
      <alignment horizontal="center" wrapText="1"/>
    </xf>
    <xf numFmtId="164" fontId="2" fillId="58" borderId="16" xfId="312" applyNumberFormat="1" applyFont="1" applyFill="1" applyBorder="1" applyAlignment="1">
      <alignment horizontal="center" wrapText="1"/>
    </xf>
    <xf numFmtId="167" fontId="3" fillId="0" borderId="0" xfId="561" applyNumberFormat="1" applyFont="1"/>
    <xf numFmtId="166" fontId="2" fillId="24" borderId="16" xfId="561" applyNumberFormat="1" applyFont="1" applyFill="1" applyBorder="1"/>
    <xf numFmtId="164" fontId="2" fillId="0" borderId="18" xfId="312" applyNumberFormat="1" applyFont="1" applyBorder="1"/>
    <xf numFmtId="164" fontId="2" fillId="0" borderId="0" xfId="312" applyNumberFormat="1" applyFont="1" applyFill="1" applyBorder="1" applyAlignment="1">
      <alignment horizontal="center"/>
    </xf>
    <xf numFmtId="164" fontId="8" fillId="65" borderId="0" xfId="312" applyNumberFormat="1" applyFont="1" applyFill="1"/>
    <xf numFmtId="167" fontId="3" fillId="66" borderId="14" xfId="342" applyNumberFormat="1" applyFont="1" applyFill="1" applyBorder="1"/>
    <xf numFmtId="167" fontId="2" fillId="24" borderId="17" xfId="342" applyNumberFormat="1" applyFont="1" applyFill="1" applyBorder="1"/>
    <xf numFmtId="168" fontId="3" fillId="0" borderId="0" xfId="342" applyNumberFormat="1" applyFont="1"/>
    <xf numFmtId="164" fontId="89" fillId="0" borderId="11" xfId="312" applyNumberFormat="1" applyFont="1" applyFill="1" applyBorder="1" applyAlignment="1">
      <alignment horizontal="center"/>
    </xf>
    <xf numFmtId="164" fontId="89" fillId="57" borderId="11" xfId="312" applyNumberFormat="1" applyFont="1" applyFill="1" applyBorder="1" applyAlignment="1">
      <alignment horizontal="center" wrapText="1"/>
    </xf>
    <xf numFmtId="164" fontId="62" fillId="0" borderId="0" xfId="312" applyNumberFormat="1" applyFont="1" applyFill="1"/>
    <xf numFmtId="164" fontId="67" fillId="57" borderId="0" xfId="312" applyNumberFormat="1" applyFont="1" applyFill="1"/>
    <xf numFmtId="164" fontId="62" fillId="0" borderId="0" xfId="312" applyNumberFormat="1" applyFont="1" applyFill="1" applyBorder="1"/>
    <xf numFmtId="164" fontId="67" fillId="0" borderId="0" xfId="312" applyNumberFormat="1" applyFont="1" applyFill="1" applyBorder="1"/>
    <xf numFmtId="164" fontId="89" fillId="0" borderId="18" xfId="312" applyNumberFormat="1" applyFont="1" applyFill="1" applyBorder="1"/>
    <xf numFmtId="164" fontId="89" fillId="57" borderId="18" xfId="312" applyNumberFormat="1" applyFont="1" applyFill="1" applyBorder="1"/>
    <xf numFmtId="164" fontId="81" fillId="0" borderId="0" xfId="312" applyNumberFormat="1" applyFont="1" applyFill="1" applyBorder="1"/>
    <xf numFmtId="164" fontId="89" fillId="0" borderId="0" xfId="312" applyNumberFormat="1" applyFont="1" applyFill="1" applyBorder="1"/>
    <xf numFmtId="164" fontId="1" fillId="57" borderId="0" xfId="312" applyNumberFormat="1" applyFont="1" applyFill="1"/>
    <xf numFmtId="167" fontId="89" fillId="57" borderId="26" xfId="343" applyNumberFormat="1" applyFont="1" applyFill="1" applyBorder="1"/>
    <xf numFmtId="167" fontId="89" fillId="0" borderId="0" xfId="343" applyNumberFormat="1" applyFont="1" applyFill="1" applyBorder="1"/>
    <xf numFmtId="167" fontId="67" fillId="57" borderId="0" xfId="343" applyNumberFormat="1" applyFont="1" applyFill="1" applyBorder="1"/>
    <xf numFmtId="164" fontId="81" fillId="0" borderId="0" xfId="312" applyNumberFormat="1" applyFont="1" applyBorder="1"/>
    <xf numFmtId="164" fontId="3" fillId="0" borderId="0" xfId="495" applyNumberFormat="1" applyFont="1"/>
    <xf numFmtId="43" fontId="13" fillId="0" borderId="0" xfId="312" applyNumberFormat="1" applyFont="1" applyFill="1" applyBorder="1"/>
    <xf numFmtId="167" fontId="13" fillId="0" borderId="21" xfId="342" quotePrefix="1" applyNumberFormat="1" applyFont="1" applyFill="1" applyBorder="1" applyAlignment="1">
      <alignment horizontal="right"/>
    </xf>
    <xf numFmtId="164" fontId="62" fillId="0" borderId="0" xfId="312" applyNumberFormat="1" applyFont="1" applyFill="1"/>
    <xf numFmtId="164" fontId="3" fillId="0" borderId="23" xfId="312" applyNumberFormat="1" applyFont="1" applyFill="1" applyBorder="1"/>
    <xf numFmtId="164" fontId="3" fillId="0" borderId="21" xfId="312" applyNumberFormat="1" applyFont="1" applyFill="1" applyBorder="1"/>
    <xf numFmtId="164" fontId="3" fillId="0" borderId="24" xfId="312" applyNumberFormat="1" applyFont="1" applyFill="1" applyBorder="1"/>
    <xf numFmtId="167" fontId="2" fillId="24" borderId="22" xfId="342" applyNumberFormat="1" applyFont="1" applyFill="1" applyBorder="1"/>
    <xf numFmtId="164" fontId="62" fillId="0" borderId="0" xfId="312" applyNumberFormat="1" applyFont="1" applyFill="1"/>
    <xf numFmtId="164" fontId="2" fillId="59" borderId="0" xfId="312" applyNumberFormat="1" applyFont="1" applyFill="1"/>
    <xf numFmtId="164" fontId="89" fillId="0" borderId="11" xfId="312" applyNumberFormat="1" applyFont="1" applyFill="1" applyBorder="1" applyAlignment="1">
      <alignment horizontal="center" wrapText="1"/>
    </xf>
    <xf numFmtId="167" fontId="3" fillId="0" borderId="0" xfId="342" applyNumberFormat="1" applyFont="1"/>
    <xf numFmtId="164" fontId="8" fillId="58" borderId="12" xfId="312" applyNumberFormat="1" applyFont="1" applyFill="1" applyBorder="1" applyAlignment="1">
      <alignment horizontal="center"/>
    </xf>
    <xf numFmtId="164" fontId="8" fillId="58" borderId="10" xfId="312" applyNumberFormat="1" applyFont="1" applyFill="1" applyBorder="1" applyAlignment="1">
      <alignment horizontal="center"/>
    </xf>
    <xf numFmtId="164" fontId="8" fillId="58" borderId="20" xfId="312" applyNumberFormat="1" applyFont="1" applyFill="1" applyBorder="1" applyAlignment="1">
      <alignment horizontal="center"/>
    </xf>
    <xf numFmtId="164" fontId="4" fillId="0" borderId="14" xfId="312" applyNumberFormat="1" applyFont="1" applyBorder="1"/>
    <xf numFmtId="164" fontId="4" fillId="0" borderId="14" xfId="312" applyNumberFormat="1" applyFont="1" applyFill="1" applyBorder="1"/>
    <xf numFmtId="164" fontId="4" fillId="0" borderId="21" xfId="312" applyNumberFormat="1" applyFont="1" applyFill="1" applyBorder="1"/>
    <xf numFmtId="164" fontId="4" fillId="0" borderId="13" xfId="312" applyNumberFormat="1" applyFont="1" applyFill="1" applyBorder="1"/>
    <xf numFmtId="164" fontId="83" fillId="0" borderId="15" xfId="0" applyNumberFormat="1" applyFont="1" applyBorder="1"/>
    <xf numFmtId="164" fontId="11" fillId="0" borderId="0" xfId="458" applyNumberFormat="1" applyFont="1" applyFill="1"/>
    <xf numFmtId="43" fontId="3" fillId="0" borderId="0" xfId="312" applyNumberFormat="1" applyFont="1" applyFill="1"/>
    <xf numFmtId="164" fontId="3" fillId="0" borderId="0" xfId="562" applyNumberFormat="1" applyFont="1"/>
    <xf numFmtId="9" fontId="3" fillId="64" borderId="21" xfId="561" applyFont="1" applyFill="1" applyBorder="1" applyAlignment="1">
      <alignment horizontal="right"/>
    </xf>
    <xf numFmtId="165" fontId="4" fillId="0" borderId="0" xfId="312" applyNumberFormat="1" applyFont="1" applyAlignment="1">
      <alignment horizontal="center"/>
    </xf>
    <xf numFmtId="167" fontId="7" fillId="0" borderId="11" xfId="342" applyNumberFormat="1" applyFont="1" applyFill="1" applyBorder="1" applyAlignment="1">
      <alignment horizontal="center" wrapText="1"/>
    </xf>
    <xf numFmtId="0" fontId="8" fillId="0" borderId="0" xfId="458" applyFont="1" applyAlignment="1">
      <alignment horizontal="center"/>
    </xf>
    <xf numFmtId="164" fontId="2" fillId="67" borderId="17" xfId="312" applyNumberFormat="1" applyFont="1" applyFill="1" applyBorder="1" applyAlignment="1">
      <alignment horizontal="center"/>
    </xf>
    <xf numFmtId="164" fontId="2" fillId="67" borderId="18" xfId="312" applyNumberFormat="1" applyFont="1" applyFill="1" applyBorder="1" applyAlignment="1">
      <alignment horizontal="center"/>
    </xf>
    <xf numFmtId="164" fontId="2" fillId="67" borderId="19" xfId="312" applyNumberFormat="1" applyFont="1" applyFill="1" applyBorder="1" applyAlignment="1">
      <alignment horizontal="center"/>
    </xf>
    <xf numFmtId="164" fontId="2" fillId="59" borderId="17" xfId="312" applyNumberFormat="1" applyFont="1" applyFill="1" applyBorder="1" applyAlignment="1">
      <alignment horizontal="center"/>
    </xf>
    <xf numFmtId="164" fontId="2" fillId="59" borderId="18" xfId="312" applyNumberFormat="1" applyFont="1" applyFill="1" applyBorder="1" applyAlignment="1">
      <alignment horizontal="center"/>
    </xf>
    <xf numFmtId="164" fontId="2" fillId="59" borderId="19" xfId="312" applyNumberFormat="1" applyFont="1" applyFill="1" applyBorder="1" applyAlignment="1">
      <alignment horizontal="center"/>
    </xf>
    <xf numFmtId="164" fontId="2" fillId="65" borderId="17" xfId="312" applyNumberFormat="1" applyFont="1" applyFill="1" applyBorder="1" applyAlignment="1">
      <alignment horizontal="center"/>
    </xf>
    <xf numFmtId="164" fontId="2" fillId="65" borderId="18" xfId="312" applyNumberFormat="1" applyFont="1" applyFill="1" applyBorder="1" applyAlignment="1">
      <alignment horizontal="center"/>
    </xf>
    <xf numFmtId="164" fontId="2" fillId="65" borderId="19" xfId="312" applyNumberFormat="1" applyFont="1" applyFill="1" applyBorder="1" applyAlignment="1">
      <alignment horizontal="center"/>
    </xf>
    <xf numFmtId="164" fontId="2" fillId="0" borderId="0" xfId="312" applyNumberFormat="1" applyFont="1" applyFill="1" applyBorder="1" applyAlignment="1">
      <alignment horizontal="center"/>
    </xf>
    <xf numFmtId="2" fontId="2" fillId="0" borderId="0" xfId="458" applyNumberFormat="1" applyFont="1" applyFill="1" applyBorder="1" applyAlignment="1">
      <alignment horizontal="center"/>
    </xf>
    <xf numFmtId="164" fontId="7" fillId="0" borderId="0" xfId="312" applyNumberFormat="1" applyFont="1" applyBorder="1" applyAlignment="1">
      <alignment horizontal="center"/>
    </xf>
    <xf numFmtId="164" fontId="7" fillId="0" borderId="10" xfId="495" applyNumberFormat="1" applyFont="1" applyBorder="1" applyAlignment="1">
      <alignment horizontal="center"/>
    </xf>
    <xf numFmtId="0" fontId="19" fillId="0" borderId="0" xfId="495" applyFont="1" applyAlignment="1">
      <alignment horizontal="center"/>
    </xf>
    <xf numFmtId="0" fontId="7" fillId="0" borderId="0" xfId="495" applyFont="1" applyAlignment="1">
      <alignment horizontal="center"/>
    </xf>
    <xf numFmtId="0" fontId="7" fillId="0" borderId="0" xfId="507" applyFont="1" applyAlignment="1">
      <alignment horizontal="center"/>
    </xf>
    <xf numFmtId="0" fontId="7" fillId="0" borderId="0" xfId="507" applyFont="1" applyBorder="1" applyAlignment="1">
      <alignment horizontal="center"/>
    </xf>
    <xf numFmtId="164" fontId="7" fillId="0" borderId="0" xfId="495" applyNumberFormat="1" applyFont="1" applyBorder="1" applyAlignment="1">
      <alignment horizontal="center"/>
    </xf>
    <xf numFmtId="164" fontId="8" fillId="58" borderId="12" xfId="312" applyNumberFormat="1" applyFont="1" applyFill="1" applyBorder="1" applyAlignment="1">
      <alignment horizontal="center"/>
    </xf>
    <xf numFmtId="164" fontId="8" fillId="58" borderId="10" xfId="312" applyNumberFormat="1" applyFont="1" applyFill="1" applyBorder="1" applyAlignment="1">
      <alignment horizontal="center"/>
    </xf>
    <xf numFmtId="164" fontId="2" fillId="0" borderId="0" xfId="312" quotePrefix="1" applyNumberFormat="1" applyFont="1" applyAlignment="1">
      <alignment horizontal="center"/>
    </xf>
    <xf numFmtId="164" fontId="2" fillId="0" borderId="0" xfId="312" applyNumberFormat="1" applyFont="1" applyAlignment="1">
      <alignment horizontal="center"/>
    </xf>
    <xf numFmtId="164" fontId="8" fillId="0" borderId="0" xfId="312" applyNumberFormat="1" applyFont="1" applyFill="1" applyBorder="1" applyAlignment="1">
      <alignment horizontal="center"/>
    </xf>
    <xf numFmtId="165" fontId="4" fillId="0" borderId="11" xfId="312" applyNumberFormat="1" applyFont="1" applyBorder="1" applyAlignment="1">
      <alignment horizontal="center"/>
    </xf>
    <xf numFmtId="164" fontId="8" fillId="58" borderId="20" xfId="312" applyNumberFormat="1" applyFont="1" applyFill="1" applyBorder="1" applyAlignment="1">
      <alignment horizontal="center"/>
    </xf>
    <xf numFmtId="165" fontId="4" fillId="0" borderId="0" xfId="312" applyNumberFormat="1" applyFont="1" applyBorder="1" applyAlignment="1">
      <alignment horizontal="center"/>
    </xf>
  </cellXfs>
  <cellStyles count="611">
    <cellStyle name="20% - Accent1" xfId="1" builtinId="30" customBuiltin="1"/>
    <cellStyle name="20% - Accent1 2" xfId="2"/>
    <cellStyle name="20% - Accent1 2 2" xfId="3"/>
    <cellStyle name="20% - Accent1 3" xfId="4"/>
    <cellStyle name="20% - Accent1 3 2" xfId="5"/>
    <cellStyle name="20% - Accent1 4" xfId="6"/>
    <cellStyle name="20% - Accent1 4 2" xfId="7"/>
    <cellStyle name="20% - Accent1 5" xfId="8"/>
    <cellStyle name="20% - Accent1 5 2" xfId="9"/>
    <cellStyle name="20% - Accent1 6" xfId="10"/>
    <cellStyle name="20% - Accent1 7" xfId="11"/>
    <cellStyle name="20% - Accent1 8" xfId="12"/>
    <cellStyle name="20% - Accent1 9" xfId="13"/>
    <cellStyle name="20% - Accent2" xfId="14" builtinId="34" customBuiltin="1"/>
    <cellStyle name="20% - Accent2 2" xfId="15"/>
    <cellStyle name="20% - Accent2 2 2" xfId="16"/>
    <cellStyle name="20% - Accent2 3" xfId="17"/>
    <cellStyle name="20% - Accent2 3 2" xfId="18"/>
    <cellStyle name="20% - Accent2 4" xfId="19"/>
    <cellStyle name="20% - Accent2 4 2" xfId="20"/>
    <cellStyle name="20% - Accent2 5" xfId="21"/>
    <cellStyle name="20% - Accent2 5 2" xfId="22"/>
    <cellStyle name="20% - Accent2 6" xfId="23"/>
    <cellStyle name="20% - Accent2 7" xfId="24"/>
    <cellStyle name="20% - Accent2 8" xfId="25"/>
    <cellStyle name="20% - Accent2 9" xfId="26"/>
    <cellStyle name="20% - Accent3" xfId="27" builtinId="38" customBuiltin="1"/>
    <cellStyle name="20% - Accent3 2" xfId="28"/>
    <cellStyle name="20% - Accent3 2 2" xfId="29"/>
    <cellStyle name="20% - Accent3 3" xfId="30"/>
    <cellStyle name="20% - Accent3 3 2" xfId="31"/>
    <cellStyle name="20% - Accent3 4" xfId="32"/>
    <cellStyle name="20% - Accent3 4 2" xfId="33"/>
    <cellStyle name="20% - Accent3 5" xfId="34"/>
    <cellStyle name="20% - Accent3 5 2" xfId="35"/>
    <cellStyle name="20% - Accent3 6" xfId="36"/>
    <cellStyle name="20% - Accent3 7" xfId="37"/>
    <cellStyle name="20% - Accent3 8" xfId="38"/>
    <cellStyle name="20% - Accent3 9" xfId="39"/>
    <cellStyle name="20% - Accent4" xfId="40" builtinId="42" customBuiltin="1"/>
    <cellStyle name="20% - Accent4 2" xfId="41"/>
    <cellStyle name="20% - Accent4 2 2" xfId="42"/>
    <cellStyle name="20% - Accent4 3" xfId="43"/>
    <cellStyle name="20% - Accent4 3 2" xfId="44"/>
    <cellStyle name="20% - Accent4 4" xfId="45"/>
    <cellStyle name="20% - Accent4 4 2" xfId="46"/>
    <cellStyle name="20% - Accent4 5" xfId="47"/>
    <cellStyle name="20% - Accent4 5 2" xfId="48"/>
    <cellStyle name="20% - Accent4 6" xfId="49"/>
    <cellStyle name="20% - Accent4 7" xfId="50"/>
    <cellStyle name="20% - Accent4 8" xfId="51"/>
    <cellStyle name="20% - Accent4 9" xfId="52"/>
    <cellStyle name="20% - Accent5" xfId="53" builtinId="46" customBuiltin="1"/>
    <cellStyle name="20% - Accent5 2" xfId="54"/>
    <cellStyle name="20% - Accent5 2 2" xfId="55"/>
    <cellStyle name="20% - Accent5 3" xfId="56"/>
    <cellStyle name="20% - Accent5 3 2" xfId="57"/>
    <cellStyle name="20% - Accent5 4" xfId="58"/>
    <cellStyle name="20% - Accent5 4 2" xfId="59"/>
    <cellStyle name="20% - Accent5 5" xfId="60"/>
    <cellStyle name="20% - Accent5 5 2" xfId="61"/>
    <cellStyle name="20% - Accent5 6" xfId="62"/>
    <cellStyle name="20% - Accent5 7" xfId="63"/>
    <cellStyle name="20% - Accent5 8" xfId="64"/>
    <cellStyle name="20% - Accent5 9" xfId="65"/>
    <cellStyle name="20% - Accent6" xfId="66" builtinId="50" customBuiltin="1"/>
    <cellStyle name="20% - Accent6 2" xfId="67"/>
    <cellStyle name="20% - Accent6 2 2" xfId="68"/>
    <cellStyle name="20% - Accent6 3" xfId="69"/>
    <cellStyle name="20% - Accent6 3 2" xfId="70"/>
    <cellStyle name="20% - Accent6 4" xfId="71"/>
    <cellStyle name="20% - Accent6 4 2" xfId="72"/>
    <cellStyle name="20% - Accent6 5" xfId="73"/>
    <cellStyle name="20% - Accent6 5 2" xfId="74"/>
    <cellStyle name="20% - Accent6 6" xfId="75"/>
    <cellStyle name="20% - Accent6 7" xfId="76"/>
    <cellStyle name="20% - Accent6 8" xfId="77"/>
    <cellStyle name="20% - Accent6 9" xfId="78"/>
    <cellStyle name="40% - Accent1" xfId="79" builtinId="31" customBuiltin="1"/>
    <cellStyle name="40% - Accent1 2" xfId="80"/>
    <cellStyle name="40% - Accent1 2 2" xfId="81"/>
    <cellStyle name="40% - Accent1 3" xfId="82"/>
    <cellStyle name="40% - Accent1 3 2" xfId="83"/>
    <cellStyle name="40% - Accent1 4" xfId="84"/>
    <cellStyle name="40% - Accent1 4 2" xfId="85"/>
    <cellStyle name="40% - Accent1 5" xfId="86"/>
    <cellStyle name="40% - Accent1 5 2" xfId="87"/>
    <cellStyle name="40% - Accent1 6" xfId="88"/>
    <cellStyle name="40% - Accent1 7" xfId="89"/>
    <cellStyle name="40% - Accent1 8" xfId="90"/>
    <cellStyle name="40% - Accent1 9" xfId="91"/>
    <cellStyle name="40% - Accent2" xfId="92" builtinId="35" customBuiltin="1"/>
    <cellStyle name="40% - Accent2 2" xfId="93"/>
    <cellStyle name="40% - Accent2 2 2" xfId="94"/>
    <cellStyle name="40% - Accent2 3" xfId="95"/>
    <cellStyle name="40% - Accent2 3 2" xfId="96"/>
    <cellStyle name="40% - Accent2 4" xfId="97"/>
    <cellStyle name="40% - Accent2 4 2" xfId="98"/>
    <cellStyle name="40% - Accent2 5" xfId="99"/>
    <cellStyle name="40% - Accent2 5 2" xfId="100"/>
    <cellStyle name="40% - Accent2 6" xfId="101"/>
    <cellStyle name="40% - Accent2 7" xfId="102"/>
    <cellStyle name="40% - Accent2 8" xfId="103"/>
    <cellStyle name="40% - Accent2 9" xfId="104"/>
    <cellStyle name="40% - Accent3" xfId="105" builtinId="39" customBuiltin="1"/>
    <cellStyle name="40% - Accent3 2" xfId="106"/>
    <cellStyle name="40% - Accent3 2 2" xfId="107"/>
    <cellStyle name="40% - Accent3 3" xfId="108"/>
    <cellStyle name="40% - Accent3 3 2" xfId="109"/>
    <cellStyle name="40% - Accent3 4" xfId="110"/>
    <cellStyle name="40% - Accent3 4 2" xfId="111"/>
    <cellStyle name="40% - Accent3 5" xfId="112"/>
    <cellStyle name="40% - Accent3 5 2" xfId="113"/>
    <cellStyle name="40% - Accent3 6" xfId="114"/>
    <cellStyle name="40% - Accent3 7" xfId="115"/>
    <cellStyle name="40% - Accent3 8" xfId="116"/>
    <cellStyle name="40% - Accent3 9" xfId="117"/>
    <cellStyle name="40% - Accent4" xfId="118" builtinId="43" customBuiltin="1"/>
    <cellStyle name="40% - Accent4 2" xfId="119"/>
    <cellStyle name="40% - Accent4 2 2" xfId="120"/>
    <cellStyle name="40% - Accent4 3" xfId="121"/>
    <cellStyle name="40% - Accent4 3 2" xfId="122"/>
    <cellStyle name="40% - Accent4 4" xfId="123"/>
    <cellStyle name="40% - Accent4 4 2" xfId="124"/>
    <cellStyle name="40% - Accent4 5" xfId="125"/>
    <cellStyle name="40% - Accent4 5 2" xfId="126"/>
    <cellStyle name="40% - Accent4 6" xfId="127"/>
    <cellStyle name="40% - Accent4 7" xfId="128"/>
    <cellStyle name="40% - Accent4 8" xfId="129"/>
    <cellStyle name="40% - Accent4 9" xfId="130"/>
    <cellStyle name="40% - Accent5" xfId="131" builtinId="47" customBuiltin="1"/>
    <cellStyle name="40% - Accent5 2" xfId="132"/>
    <cellStyle name="40% - Accent5 2 2" xfId="133"/>
    <cellStyle name="40% - Accent5 3" xfId="134"/>
    <cellStyle name="40% - Accent5 3 2" xfId="135"/>
    <cellStyle name="40% - Accent5 4" xfId="136"/>
    <cellStyle name="40% - Accent5 4 2" xfId="137"/>
    <cellStyle name="40% - Accent5 5" xfId="138"/>
    <cellStyle name="40% - Accent5 5 2" xfId="139"/>
    <cellStyle name="40% - Accent5 6" xfId="140"/>
    <cellStyle name="40% - Accent5 7" xfId="141"/>
    <cellStyle name="40% - Accent5 8" xfId="142"/>
    <cellStyle name="40% - Accent5 9" xfId="143"/>
    <cellStyle name="40% - Accent6" xfId="144" builtinId="51" customBuiltin="1"/>
    <cellStyle name="40% - Accent6 2" xfId="145"/>
    <cellStyle name="40% - Accent6 2 2" xfId="146"/>
    <cellStyle name="40% - Accent6 3" xfId="147"/>
    <cellStyle name="40% - Accent6 3 2" xfId="148"/>
    <cellStyle name="40% - Accent6 4" xfId="149"/>
    <cellStyle name="40% - Accent6 4 2" xfId="150"/>
    <cellStyle name="40% - Accent6 5" xfId="151"/>
    <cellStyle name="40% - Accent6 5 2" xfId="152"/>
    <cellStyle name="40% - Accent6 6" xfId="153"/>
    <cellStyle name="40% - Accent6 7" xfId="154"/>
    <cellStyle name="40% - Accent6 8" xfId="155"/>
    <cellStyle name="40% - Accent6 9" xfId="156"/>
    <cellStyle name="60% - Accent1" xfId="157" builtinId="32" customBuiltin="1"/>
    <cellStyle name="60% - Accent1 2" xfId="158"/>
    <cellStyle name="60% - Accent1 2 2" xfId="159"/>
    <cellStyle name="60% - Accent1 3" xfId="160"/>
    <cellStyle name="60% - Accent1 3 2" xfId="161"/>
    <cellStyle name="60% - Accent1 4" xfId="162"/>
    <cellStyle name="60% - Accent1 4 2" xfId="163"/>
    <cellStyle name="60% - Accent1 5" xfId="164"/>
    <cellStyle name="60% - Accent1 5 2" xfId="165"/>
    <cellStyle name="60% - Accent1 6" xfId="166"/>
    <cellStyle name="60% - Accent2" xfId="167" builtinId="36" customBuiltin="1"/>
    <cellStyle name="60% - Accent2 2" xfId="168"/>
    <cellStyle name="60% - Accent2 2 2" xfId="169"/>
    <cellStyle name="60% - Accent2 3" xfId="170"/>
    <cellStyle name="60% - Accent2 3 2" xfId="171"/>
    <cellStyle name="60% - Accent2 4" xfId="172"/>
    <cellStyle name="60% - Accent2 4 2" xfId="173"/>
    <cellStyle name="60% - Accent2 5" xfId="174"/>
    <cellStyle name="60% - Accent2 5 2" xfId="175"/>
    <cellStyle name="60% - Accent2 6" xfId="176"/>
    <cellStyle name="60% - Accent3" xfId="177" builtinId="40" customBuiltin="1"/>
    <cellStyle name="60% - Accent3 2" xfId="178"/>
    <cellStyle name="60% - Accent3 2 2" xfId="179"/>
    <cellStyle name="60% - Accent3 3" xfId="180"/>
    <cellStyle name="60% - Accent3 3 2" xfId="181"/>
    <cellStyle name="60% - Accent3 4" xfId="182"/>
    <cellStyle name="60% - Accent3 4 2" xfId="183"/>
    <cellStyle name="60% - Accent3 5" xfId="184"/>
    <cellStyle name="60% - Accent3 5 2" xfId="185"/>
    <cellStyle name="60% - Accent3 6" xfId="186"/>
    <cellStyle name="60% - Accent4" xfId="187" builtinId="44" customBuiltin="1"/>
    <cellStyle name="60% - Accent4 2" xfId="188"/>
    <cellStyle name="60% - Accent4 2 2" xfId="189"/>
    <cellStyle name="60% - Accent4 3" xfId="190"/>
    <cellStyle name="60% - Accent4 3 2" xfId="191"/>
    <cellStyle name="60% - Accent4 4" xfId="192"/>
    <cellStyle name="60% - Accent4 4 2" xfId="193"/>
    <cellStyle name="60% - Accent4 5" xfId="194"/>
    <cellStyle name="60% - Accent4 5 2" xfId="195"/>
    <cellStyle name="60% - Accent4 6" xfId="196"/>
    <cellStyle name="60% - Accent5" xfId="197" builtinId="48" customBuiltin="1"/>
    <cellStyle name="60% - Accent5 2" xfId="198"/>
    <cellStyle name="60% - Accent5 2 2" xfId="199"/>
    <cellStyle name="60% - Accent5 3" xfId="200"/>
    <cellStyle name="60% - Accent5 3 2" xfId="201"/>
    <cellStyle name="60% - Accent5 4" xfId="202"/>
    <cellStyle name="60% - Accent5 4 2" xfId="203"/>
    <cellStyle name="60% - Accent5 5" xfId="204"/>
    <cellStyle name="60% - Accent5 5 2" xfId="205"/>
    <cellStyle name="60% - Accent5 6" xfId="206"/>
    <cellStyle name="60% - Accent6" xfId="207" builtinId="52" customBuiltin="1"/>
    <cellStyle name="60% - Accent6 2" xfId="208"/>
    <cellStyle name="60% - Accent6 2 2" xfId="209"/>
    <cellStyle name="60% - Accent6 3" xfId="210"/>
    <cellStyle name="60% - Accent6 3 2" xfId="211"/>
    <cellStyle name="60% - Accent6 4" xfId="212"/>
    <cellStyle name="60% - Accent6 4 2" xfId="213"/>
    <cellStyle name="60% - Accent6 5" xfId="214"/>
    <cellStyle name="60% - Accent6 5 2" xfId="215"/>
    <cellStyle name="60% - Accent6 6" xfId="216"/>
    <cellStyle name="Accent1" xfId="217" builtinId="29" customBuiltin="1"/>
    <cellStyle name="Accent1 2" xfId="218"/>
    <cellStyle name="Accent1 2 2" xfId="219"/>
    <cellStyle name="Accent1 3" xfId="220"/>
    <cellStyle name="Accent1 3 2" xfId="221"/>
    <cellStyle name="Accent1 4" xfId="222"/>
    <cellStyle name="Accent1 4 2" xfId="223"/>
    <cellStyle name="Accent1 5" xfId="224"/>
    <cellStyle name="Accent1 5 2" xfId="225"/>
    <cellStyle name="Accent1 6" xfId="226"/>
    <cellStyle name="Accent2" xfId="227" builtinId="33" customBuiltin="1"/>
    <cellStyle name="Accent2 2" xfId="228"/>
    <cellStyle name="Accent2 2 2" xfId="229"/>
    <cellStyle name="Accent2 3" xfId="230"/>
    <cellStyle name="Accent2 3 2" xfId="231"/>
    <cellStyle name="Accent2 4" xfId="232"/>
    <cellStyle name="Accent2 4 2" xfId="233"/>
    <cellStyle name="Accent2 5" xfId="234"/>
    <cellStyle name="Accent2 5 2" xfId="235"/>
    <cellStyle name="Accent2 6" xfId="236"/>
    <cellStyle name="Accent3" xfId="237" builtinId="37" customBuiltin="1"/>
    <cellStyle name="Accent3 2" xfId="238"/>
    <cellStyle name="Accent3 2 2" xfId="239"/>
    <cellStyle name="Accent3 3" xfId="240"/>
    <cellStyle name="Accent3 3 2" xfId="241"/>
    <cellStyle name="Accent3 4" xfId="242"/>
    <cellStyle name="Accent3 4 2" xfId="243"/>
    <cellStyle name="Accent3 5" xfId="244"/>
    <cellStyle name="Accent3 5 2" xfId="245"/>
    <cellStyle name="Accent3 6" xfId="246"/>
    <cellStyle name="Accent4" xfId="247" builtinId="41" customBuiltin="1"/>
    <cellStyle name="Accent4 2" xfId="248"/>
    <cellStyle name="Accent4 2 2" xfId="249"/>
    <cellStyle name="Accent4 3" xfId="250"/>
    <cellStyle name="Accent4 3 2" xfId="251"/>
    <cellStyle name="Accent4 4" xfId="252"/>
    <cellStyle name="Accent4 4 2" xfId="253"/>
    <cellStyle name="Accent4 5" xfId="254"/>
    <cellStyle name="Accent4 5 2" xfId="255"/>
    <cellStyle name="Accent4 6" xfId="256"/>
    <cellStyle name="Accent5" xfId="257" builtinId="45" customBuiltin="1"/>
    <cellStyle name="Accent5 2" xfId="258"/>
    <cellStyle name="Accent5 2 2" xfId="259"/>
    <cellStyle name="Accent5 3" xfId="260"/>
    <cellStyle name="Accent5 3 2" xfId="261"/>
    <cellStyle name="Accent5 4" xfId="262"/>
    <cellStyle name="Accent5 4 2" xfId="263"/>
    <cellStyle name="Accent5 5" xfId="264"/>
    <cellStyle name="Accent5 5 2" xfId="265"/>
    <cellStyle name="Accent5 6" xfId="266"/>
    <cellStyle name="Accent6" xfId="267" builtinId="49" customBuiltin="1"/>
    <cellStyle name="Accent6 2" xfId="268"/>
    <cellStyle name="Accent6 2 2" xfId="269"/>
    <cellStyle name="Accent6 3" xfId="270"/>
    <cellStyle name="Accent6 3 2" xfId="271"/>
    <cellStyle name="Accent6 4" xfId="272"/>
    <cellStyle name="Accent6 4 2" xfId="273"/>
    <cellStyle name="Accent6 5" xfId="274"/>
    <cellStyle name="Accent6 5 2" xfId="275"/>
    <cellStyle name="Accent6 6" xfId="276"/>
    <cellStyle name="Bad" xfId="277" builtinId="27" customBuiltin="1"/>
    <cellStyle name="Bad 2" xfId="278"/>
    <cellStyle name="Bad 2 2" xfId="279"/>
    <cellStyle name="Bad 3" xfId="280"/>
    <cellStyle name="Bad 3 2" xfId="281"/>
    <cellStyle name="Bad 4" xfId="282"/>
    <cellStyle name="Bad 4 2" xfId="283"/>
    <cellStyle name="Bad 5" xfId="284"/>
    <cellStyle name="Bad 5 2" xfId="285"/>
    <cellStyle name="Bad 6" xfId="286"/>
    <cellStyle name="Calculation" xfId="287" builtinId="22" customBuiltin="1"/>
    <cellStyle name="Calculation 2" xfId="288"/>
    <cellStyle name="Calculation 2 2" xfId="289"/>
    <cellStyle name="Calculation 3" xfId="290"/>
    <cellStyle name="Calculation 3 2" xfId="291"/>
    <cellStyle name="Calculation 4" xfId="292"/>
    <cellStyle name="Calculation 4 2" xfId="293"/>
    <cellStyle name="Calculation 5" xfId="294"/>
    <cellStyle name="Calculation 5 2" xfId="295"/>
    <cellStyle name="Calculation 6" xfId="296"/>
    <cellStyle name="Check Cell" xfId="297" builtinId="23" customBuiltin="1"/>
    <cellStyle name="Check Cell 2" xfId="298"/>
    <cellStyle name="Check Cell 2 2" xfId="299"/>
    <cellStyle name="Check Cell 3" xfId="300"/>
    <cellStyle name="Check Cell 3 2" xfId="301"/>
    <cellStyle name="Check Cell 4" xfId="302"/>
    <cellStyle name="Check Cell 4 2" xfId="303"/>
    <cellStyle name="Check Cell 5" xfId="304"/>
    <cellStyle name="Check Cell 5 2" xfId="305"/>
    <cellStyle name="Check Cell 6" xfId="306"/>
    <cellStyle name="Comma" xfId="307" builtinId="3"/>
    <cellStyle name="Comma 10" xfId="308"/>
    <cellStyle name="Comma 10 2" xfId="309"/>
    <cellStyle name="Comma 18" xfId="310"/>
    <cellStyle name="Comma 18 2" xfId="311"/>
    <cellStyle name="Comma 2" xfId="312"/>
    <cellStyle name="Comma 2 2" xfId="313"/>
    <cellStyle name="Comma 2 2 2" xfId="314"/>
    <cellStyle name="Comma 2 2 3" xfId="315"/>
    <cellStyle name="Comma 2 3" xfId="316"/>
    <cellStyle name="Comma 2 3 2" xfId="317"/>
    <cellStyle name="Comma 2 4" xfId="318"/>
    <cellStyle name="Comma 2 4 2" xfId="319"/>
    <cellStyle name="Comma 2 4 3" xfId="320"/>
    <cellStyle name="Comma 2 5" xfId="321"/>
    <cellStyle name="Comma 2 6" xfId="322"/>
    <cellStyle name="Comma 2 7" xfId="323"/>
    <cellStyle name="Comma 2 7 2" xfId="324"/>
    <cellStyle name="Comma 3" xfId="325"/>
    <cellStyle name="Comma 3 2" xfId="326"/>
    <cellStyle name="Comma 3 2 2" xfId="327"/>
    <cellStyle name="Comma 4" xfId="328"/>
    <cellStyle name="Comma 4 2" xfId="329"/>
    <cellStyle name="Comma 5" xfId="330"/>
    <cellStyle name="Comma 5 2" xfId="331"/>
    <cellStyle name="Comma 5 2 2" xfId="332"/>
    <cellStyle name="Comma 5 3" xfId="333"/>
    <cellStyle name="Comma 6" xfId="334"/>
    <cellStyle name="Comma 6 2" xfId="335"/>
    <cellStyle name="Comma 7" xfId="336"/>
    <cellStyle name="Comma 7 2" xfId="337"/>
    <cellStyle name="Comma 7 2 2" xfId="338"/>
    <cellStyle name="Comma 7 3" xfId="339"/>
    <cellStyle name="Comma 8" xfId="340"/>
    <cellStyle name="Comma 9" xfId="341"/>
    <cellStyle name="Currency" xfId="342" builtinId="4"/>
    <cellStyle name="Currency 2" xfId="343"/>
    <cellStyle name="Currency 2 2" xfId="344"/>
    <cellStyle name="Currency 2 2 2" xfId="345"/>
    <cellStyle name="Currency 2 3" xfId="346"/>
    <cellStyle name="Currency 3" xfId="347"/>
    <cellStyle name="Currency 4" xfId="348"/>
    <cellStyle name="Explanatory Text" xfId="349" builtinId="53" customBuiltin="1"/>
    <cellStyle name="Explanatory Text 2" xfId="350"/>
    <cellStyle name="Explanatory Text 2 2" xfId="351"/>
    <cellStyle name="Explanatory Text 3" xfId="352"/>
    <cellStyle name="Explanatory Text 3 2" xfId="353"/>
    <cellStyle name="Explanatory Text 4" xfId="354"/>
    <cellStyle name="Explanatory Text 4 2" xfId="355"/>
    <cellStyle name="Explanatory Text 5" xfId="356"/>
    <cellStyle name="Explanatory Text 5 2" xfId="357"/>
    <cellStyle name="Explanatory Text 6" xfId="358"/>
    <cellStyle name="Good" xfId="359" builtinId="26" customBuiltin="1"/>
    <cellStyle name="Good 2" xfId="360"/>
    <cellStyle name="Good 2 2" xfId="361"/>
    <cellStyle name="Good 3" xfId="362"/>
    <cellStyle name="Good 3 2" xfId="363"/>
    <cellStyle name="Good 4" xfId="364"/>
    <cellStyle name="Good 4 2" xfId="365"/>
    <cellStyle name="Good 5" xfId="366"/>
    <cellStyle name="Good 5 2" xfId="367"/>
    <cellStyle name="Good 6" xfId="368"/>
    <cellStyle name="Heading 1" xfId="369" builtinId="16" customBuiltin="1"/>
    <cellStyle name="Heading 1 2" xfId="370"/>
    <cellStyle name="Heading 1 2 2" xfId="371"/>
    <cellStyle name="Heading 1 3" xfId="372"/>
    <cellStyle name="Heading 1 3 2" xfId="373"/>
    <cellStyle name="Heading 1 4" xfId="374"/>
    <cellStyle name="Heading 1 4 2" xfId="375"/>
    <cellStyle name="Heading 1 5" xfId="376"/>
    <cellStyle name="Heading 1 5 2" xfId="377"/>
    <cellStyle name="Heading 1 6" xfId="378"/>
    <cellStyle name="Heading 2" xfId="379" builtinId="17" customBuiltin="1"/>
    <cellStyle name="Heading 2 2" xfId="380"/>
    <cellStyle name="Heading 2 2 2" xfId="381"/>
    <cellStyle name="Heading 2 3" xfId="382"/>
    <cellStyle name="Heading 2 3 2" xfId="383"/>
    <cellStyle name="Heading 2 4" xfId="384"/>
    <cellStyle name="Heading 2 4 2" xfId="385"/>
    <cellStyle name="Heading 2 5" xfId="386"/>
    <cellStyle name="Heading 2 5 2" xfId="387"/>
    <cellStyle name="Heading 2 6" xfId="388"/>
    <cellStyle name="Heading 3" xfId="389" builtinId="18" customBuiltin="1"/>
    <cellStyle name="Heading 3 2" xfId="390"/>
    <cellStyle name="Heading 3 2 2" xfId="391"/>
    <cellStyle name="Heading 3 3" xfId="392"/>
    <cellStyle name="Heading 3 3 2" xfId="393"/>
    <cellStyle name="Heading 3 4" xfId="394"/>
    <cellStyle name="Heading 3 4 2" xfId="395"/>
    <cellStyle name="Heading 3 5" xfId="396"/>
    <cellStyle name="Heading 3 5 2" xfId="397"/>
    <cellStyle name="Heading 3 6" xfId="398"/>
    <cellStyle name="Heading 4" xfId="399" builtinId="19" customBuiltin="1"/>
    <cellStyle name="Heading 4 2" xfId="400"/>
    <cellStyle name="Heading 4 2 2" xfId="401"/>
    <cellStyle name="Heading 4 3" xfId="402"/>
    <cellStyle name="Heading 4 3 2" xfId="403"/>
    <cellStyle name="Heading 4 4" xfId="404"/>
    <cellStyle name="Heading 4 4 2" xfId="405"/>
    <cellStyle name="Heading 4 5" xfId="406"/>
    <cellStyle name="Heading 4 5 2" xfId="407"/>
    <cellStyle name="Heading 4 6" xfId="408"/>
    <cellStyle name="Hyperlink 2" xfId="409"/>
    <cellStyle name="Hyperlink 3" xfId="410"/>
    <cellStyle name="Input" xfId="411" builtinId="20" customBuiltin="1"/>
    <cellStyle name="Input 2" xfId="412"/>
    <cellStyle name="Input 2 2" xfId="413"/>
    <cellStyle name="Input 3" xfId="414"/>
    <cellStyle name="Input 3 2" xfId="415"/>
    <cellStyle name="Input 4" xfId="416"/>
    <cellStyle name="Input 4 2" xfId="417"/>
    <cellStyle name="Input 5" xfId="418"/>
    <cellStyle name="Input 5 2" xfId="419"/>
    <cellStyle name="Input 6" xfId="420"/>
    <cellStyle name="Linked Cell" xfId="421" builtinId="24" customBuiltin="1"/>
    <cellStyle name="Linked Cell 2" xfId="422"/>
    <cellStyle name="Linked Cell 2 2" xfId="423"/>
    <cellStyle name="Linked Cell 3" xfId="424"/>
    <cellStyle name="Linked Cell 3 2" xfId="425"/>
    <cellStyle name="Linked Cell 4" xfId="426"/>
    <cellStyle name="Linked Cell 4 2" xfId="427"/>
    <cellStyle name="Linked Cell 5" xfId="428"/>
    <cellStyle name="Linked Cell 5 2" xfId="429"/>
    <cellStyle name="Linked Cell 6" xfId="430"/>
    <cellStyle name="Neutral" xfId="431" builtinId="28" customBuiltin="1"/>
    <cellStyle name="Neutral 2" xfId="432"/>
    <cellStyle name="Neutral 2 2" xfId="433"/>
    <cellStyle name="Neutral 3" xfId="434"/>
    <cellStyle name="Neutral 3 2" xfId="435"/>
    <cellStyle name="Neutral 4" xfId="436"/>
    <cellStyle name="Neutral 4 2" xfId="437"/>
    <cellStyle name="Neutral 5" xfId="438"/>
    <cellStyle name="Neutral 5 2" xfId="439"/>
    <cellStyle name="Neutral 6" xfId="440"/>
    <cellStyle name="Normal" xfId="0" builtinId="0"/>
    <cellStyle name="Normal 10" xfId="441"/>
    <cellStyle name="Normal 11" xfId="442"/>
    <cellStyle name="Normal 12" xfId="443"/>
    <cellStyle name="Normal 13" xfId="444"/>
    <cellStyle name="Normal 13 2" xfId="445"/>
    <cellStyle name="Normal 14" xfId="446"/>
    <cellStyle name="Normal 14 2" xfId="447"/>
    <cellStyle name="Normal 15" xfId="448"/>
    <cellStyle name="Normal 15 2" xfId="449"/>
    <cellStyle name="Normal 15 3" xfId="450"/>
    <cellStyle name="Normal 16" xfId="451"/>
    <cellStyle name="Normal 17" xfId="452"/>
    <cellStyle name="Normal 17 2" xfId="453"/>
    <cellStyle name="Normal 18" xfId="454"/>
    <cellStyle name="Normal 18 2" xfId="455"/>
    <cellStyle name="Normal 19" xfId="456"/>
    <cellStyle name="Normal 19 2" xfId="457"/>
    <cellStyle name="Normal 2" xfId="458"/>
    <cellStyle name="Normal 2 2" xfId="459"/>
    <cellStyle name="Normal 2 2 2" xfId="460"/>
    <cellStyle name="Normal 2 2 2 2" xfId="461"/>
    <cellStyle name="Normal 2 2 2 2 2" xfId="462"/>
    <cellStyle name="Normal 2 2 2 2 3" xfId="463"/>
    <cellStyle name="Normal 2 2 2 2 4" xfId="464"/>
    <cellStyle name="Normal 2 2 3" xfId="465"/>
    <cellStyle name="Normal 2 2 4" xfId="466"/>
    <cellStyle name="Normal 2 2 5" xfId="467"/>
    <cellStyle name="Normal 2 3" xfId="468"/>
    <cellStyle name="Normal 2 3 2" xfId="469"/>
    <cellStyle name="Normal 2 3 3" xfId="470"/>
    <cellStyle name="Normal 2 4" xfId="471"/>
    <cellStyle name="Normal 2 4 2" xfId="472"/>
    <cellStyle name="Normal 2 4 2 2" xfId="473"/>
    <cellStyle name="Normal 2 5" xfId="474"/>
    <cellStyle name="Normal 2 6" xfId="475"/>
    <cellStyle name="Normal 2 7" xfId="476"/>
    <cellStyle name="Normal 2 8" xfId="477"/>
    <cellStyle name="Normal 20" xfId="478"/>
    <cellStyle name="Normal 21" xfId="479"/>
    <cellStyle name="Normal 21 2" xfId="480"/>
    <cellStyle name="Normal 24" xfId="481"/>
    <cellStyle name="Normal 24 2" xfId="482"/>
    <cellStyle name="Normal 3" xfId="483"/>
    <cellStyle name="Normal 3 2" xfId="484"/>
    <cellStyle name="Normal 3 2 2" xfId="485"/>
    <cellStyle name="Normal 3 3" xfId="486"/>
    <cellStyle name="Normal 3 4" xfId="487"/>
    <cellStyle name="Normal 3 4 2" xfId="488"/>
    <cellStyle name="Normal 3 4 3" xfId="489"/>
    <cellStyle name="Normal 3 5" xfId="490"/>
    <cellStyle name="Normal 3 6" xfId="491"/>
    <cellStyle name="Normal 3 7" xfId="492"/>
    <cellStyle name="Normal 3 7 2" xfId="493"/>
    <cellStyle name="Normal 3 8" xfId="494"/>
    <cellStyle name="Normal 4" xfId="495"/>
    <cellStyle name="Normal 4 2" xfId="496"/>
    <cellStyle name="Normal 4 2 2" xfId="497"/>
    <cellStyle name="Normal 4 2 3" xfId="498"/>
    <cellStyle name="Normal 4 3" xfId="499"/>
    <cellStyle name="Normal 4 3 2" xfId="500"/>
    <cellStyle name="Normal 4 4" xfId="501"/>
    <cellStyle name="Normal 4 5" xfId="502"/>
    <cellStyle name="Normal 4 5 2" xfId="503"/>
    <cellStyle name="Normal 4 6" xfId="504"/>
    <cellStyle name="Normal 4 6 2" xfId="505"/>
    <cellStyle name="Normal 4 7" xfId="506"/>
    <cellStyle name="Normal 5" xfId="507"/>
    <cellStyle name="Normal 5 2" xfId="508"/>
    <cellStyle name="Normal 5 2 2" xfId="509"/>
    <cellStyle name="Normal 5 2 3" xfId="510"/>
    <cellStyle name="Normal 5 3" xfId="511"/>
    <cellStyle name="Normal 5 4" xfId="512"/>
    <cellStyle name="Normal 5 4 2" xfId="513"/>
    <cellStyle name="Normal 5 5" xfId="514"/>
    <cellStyle name="Normal 5 5 2" xfId="515"/>
    <cellStyle name="Normal 5 6" xfId="516"/>
    <cellStyle name="Normal 6" xfId="517"/>
    <cellStyle name="Normal 6 2" xfId="518"/>
    <cellStyle name="Normal 6 3" xfId="519"/>
    <cellStyle name="Normal 6 4" xfId="520"/>
    <cellStyle name="Normal 7" xfId="521"/>
    <cellStyle name="Normal 7 2" xfId="522"/>
    <cellStyle name="Normal 7 3" xfId="523"/>
    <cellStyle name="Normal 7 4" xfId="524"/>
    <cellStyle name="Normal 7 5" xfId="525"/>
    <cellStyle name="Normal 8" xfId="526"/>
    <cellStyle name="Normal 8 2" xfId="527"/>
    <cellStyle name="Normal 8 3" xfId="528"/>
    <cellStyle name="Normal 9" xfId="529"/>
    <cellStyle name="Note" xfId="530" builtinId="10" customBuiltin="1"/>
    <cellStyle name="Note 2" xfId="531"/>
    <cellStyle name="Note 2 2" xfId="532"/>
    <cellStyle name="Note 2 3" xfId="533"/>
    <cellStyle name="Note 2 3 2" xfId="534"/>
    <cellStyle name="Note 2 4" xfId="535"/>
    <cellStyle name="Note 2 5" xfId="536"/>
    <cellStyle name="Note 2 6" xfId="537"/>
    <cellStyle name="Note 3" xfId="538"/>
    <cellStyle name="Note 3 2" xfId="539"/>
    <cellStyle name="Note 3 3" xfId="540"/>
    <cellStyle name="Note 4" xfId="541"/>
    <cellStyle name="Note 4 2" xfId="542"/>
    <cellStyle name="Note 4 3" xfId="543"/>
    <cellStyle name="Note 5" xfId="544"/>
    <cellStyle name="Note 5 2" xfId="545"/>
    <cellStyle name="Note 6" xfId="546"/>
    <cellStyle name="Note 7" xfId="547"/>
    <cellStyle name="Note 7 2" xfId="548"/>
    <cellStyle name="Note 7 3" xfId="549"/>
    <cellStyle name="Note 8" xfId="550"/>
    <cellStyle name="Output" xfId="551" builtinId="21" customBuiltin="1"/>
    <cellStyle name="Output 2" xfId="552"/>
    <cellStyle name="Output 2 2" xfId="553"/>
    <cellStyle name="Output 3" xfId="554"/>
    <cellStyle name="Output 3 2" xfId="555"/>
    <cellStyle name="Output 4" xfId="556"/>
    <cellStyle name="Output 4 2" xfId="557"/>
    <cellStyle name="Output 5" xfId="558"/>
    <cellStyle name="Output 5 2" xfId="559"/>
    <cellStyle name="Output 6" xfId="560"/>
    <cellStyle name="Percent" xfId="561" builtinId="5"/>
    <cellStyle name="Percent 2" xfId="562"/>
    <cellStyle name="Percent 2 2" xfId="563"/>
    <cellStyle name="Percent 2 2 2" xfId="564"/>
    <cellStyle name="Percent 2 3" xfId="565"/>
    <cellStyle name="Percent 2 3 2" xfId="566"/>
    <cellStyle name="Percent 3" xfId="567"/>
    <cellStyle name="Percent 3 2" xfId="568"/>
    <cellStyle name="Percent 4" xfId="569"/>
    <cellStyle name="Percent 5" xfId="570"/>
    <cellStyle name="Percent 5 2" xfId="571"/>
    <cellStyle name="Percent 6" xfId="572"/>
    <cellStyle name="Percent 7" xfId="573"/>
    <cellStyle name="Percent 7 2" xfId="574"/>
    <cellStyle name="Percent 7 2 2" xfId="575"/>
    <cellStyle name="Percent 7 3" xfId="576"/>
    <cellStyle name="Percent 8" xfId="577"/>
    <cellStyle name="Percent 8 2" xfId="578"/>
    <cellStyle name="Title" xfId="579" builtinId="15" customBuiltin="1"/>
    <cellStyle name="Title 2" xfId="580"/>
    <cellStyle name="Title 2 2" xfId="581"/>
    <cellStyle name="Title 3" xfId="582"/>
    <cellStyle name="Title 3 2" xfId="583"/>
    <cellStyle name="Title 4" xfId="584"/>
    <cellStyle name="Title 4 2" xfId="585"/>
    <cellStyle name="Title 5" xfId="586"/>
    <cellStyle name="Title 5 2" xfId="587"/>
    <cellStyle name="Title 6" xfId="588"/>
    <cellStyle name="Title 7" xfId="589"/>
    <cellStyle name="Title 8" xfId="590"/>
    <cellStyle name="Total" xfId="591" builtinId="25" customBuiltin="1"/>
    <cellStyle name="Total 2" xfId="592"/>
    <cellStyle name="Total 2 2" xfId="593"/>
    <cellStyle name="Total 3" xfId="594"/>
    <cellStyle name="Total 3 2" xfId="595"/>
    <cellStyle name="Total 4" xfId="596"/>
    <cellStyle name="Total 4 2" xfId="597"/>
    <cellStyle name="Total 5" xfId="598"/>
    <cellStyle name="Total 5 2" xfId="599"/>
    <cellStyle name="Total 6" xfId="600"/>
    <cellStyle name="Warning Text" xfId="601" builtinId="11" customBuiltin="1"/>
    <cellStyle name="Warning Text 2" xfId="602"/>
    <cellStyle name="Warning Text 2 2" xfId="603"/>
    <cellStyle name="Warning Text 3" xfId="604"/>
    <cellStyle name="Warning Text 3 2" xfId="605"/>
    <cellStyle name="Warning Text 4" xfId="606"/>
    <cellStyle name="Warning Text 4 2" xfId="607"/>
    <cellStyle name="Warning Text 5" xfId="608"/>
    <cellStyle name="Warning Text 5 2" xfId="609"/>
    <cellStyle name="Warning Text 6" xfId="610"/>
  </cellStyles>
  <dxfs count="1">
    <dxf>
      <fill>
        <patternFill patternType="solid">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come%20Fund/FY19%20Income%20Fund/True-Ups/Summer%20True-Ups/Summer%202017%20True-U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come%20Fund/FY19%20Income%20Fund/True-Ups/May%20Permanent%20True-Up/FY18%20Permanent%20True-Ups%205.1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ther Adjustments"/>
      <sheetName val="Ugrad Summer Actual"/>
      <sheetName val="Ugrad Summer Distribution"/>
      <sheetName val="DMI Summer 2017 Ugrad IUs"/>
      <sheetName val="Summer 2017 Ugrad Base Rate"/>
      <sheetName val="SILMW"/>
      <sheetName val="Grad Summer Updated"/>
      <sheetName val="Summer 2016 Grad"/>
      <sheetName val="Summer 2017 Grad"/>
    </sheetNames>
    <sheetDataSet>
      <sheetData sheetId="0">
        <row r="4">
          <cell r="B4">
            <v>-13394.998207723373</v>
          </cell>
          <cell r="C4">
            <v>13093.849999999999</v>
          </cell>
        </row>
        <row r="5">
          <cell r="B5">
            <v>18320.422698791139</v>
          </cell>
          <cell r="C5">
            <v>-3164.4024999999965</v>
          </cell>
        </row>
        <row r="6">
          <cell r="B6">
            <v>-210702.47808826406</v>
          </cell>
          <cell r="C6">
            <v>46410.397499999992</v>
          </cell>
        </row>
        <row r="7">
          <cell r="B7">
            <v>-145968.29999999999</v>
          </cell>
          <cell r="C7">
            <v>-11902.6</v>
          </cell>
        </row>
        <row r="8">
          <cell r="B8">
            <v>-20648.364718276309</v>
          </cell>
          <cell r="C8">
            <v>-57895.289500000014</v>
          </cell>
        </row>
        <row r="9">
          <cell r="B9">
            <v>75668.800000000003</v>
          </cell>
          <cell r="C9">
            <v>9402.2000000000007</v>
          </cell>
          <cell r="J9">
            <v>85071</v>
          </cell>
        </row>
        <row r="10">
          <cell r="B10">
            <v>-2723.1105744748065</v>
          </cell>
        </row>
        <row r="11">
          <cell r="B11">
            <v>-171587.54871457908</v>
          </cell>
          <cell r="C11">
            <v>-77139.999999999985</v>
          </cell>
          <cell r="D11">
            <v>-248727.54871457908</v>
          </cell>
        </row>
        <row r="13">
          <cell r="B13">
            <v>30680.159939535777</v>
          </cell>
          <cell r="C13">
            <v>18893.600000000006</v>
          </cell>
          <cell r="D13">
            <v>49573.759939535783</v>
          </cell>
        </row>
        <row r="15">
          <cell r="B15">
            <v>839.30416878850156</v>
          </cell>
          <cell r="C15">
            <v>-9454.4</v>
          </cell>
          <cell r="D15">
            <v>-8615.0958312114981</v>
          </cell>
        </row>
        <row r="18">
          <cell r="B18">
            <v>-1002.2211489496131</v>
          </cell>
          <cell r="C18">
            <v>-814.14999999999964</v>
          </cell>
        </row>
        <row r="19">
          <cell r="B19">
            <v>5154.3</v>
          </cell>
          <cell r="C19">
            <v>63541.035000000033</v>
          </cell>
          <cell r="D19">
            <v>68695.335000000036</v>
          </cell>
        </row>
        <row r="21">
          <cell r="B21">
            <v>7111</v>
          </cell>
          <cell r="C21">
            <v>10001.200000000001</v>
          </cell>
          <cell r="D21">
            <v>17112.2</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y Unit"/>
      <sheetName val="Summary by Category"/>
      <sheetName val="Summary"/>
      <sheetName val="data"/>
      <sheetName val="Library IT Fee"/>
      <sheetName val="SEAL"/>
      <sheetName val="PRI Medicare"/>
      <sheetName val="Ugrad Winter"/>
      <sheetName val="Ugrad Differential"/>
      <sheetName val="FY18 Ugrad Diff"/>
      <sheetName val="Ugrad Int'l Diff"/>
      <sheetName val="Grad Fall_Spring"/>
      <sheetName val="Grad Detail"/>
      <sheetName val="Prof &amp; SS UPDATE"/>
      <sheetName val="Professional"/>
      <sheetName val="SS and misc grad"/>
      <sheetName val="Coursera"/>
      <sheetName val="Net Base Calc"/>
      <sheetName val="Other Income"/>
      <sheetName val="Per Credit Hour"/>
      <sheetName val="CITL Fee"/>
      <sheetName val="Law Library IT fee"/>
      <sheetName val="ESL"/>
      <sheetName val="MCB"/>
      <sheetName val="FAA Missed Diff"/>
      <sheetName val="1G70 1G71 FSHN Internship Fee"/>
      <sheetName val="1G60 - SW "/>
      <sheetName val="1G48 - ACES Applied Experience"/>
      <sheetName val="1FM9 - IL in Washington"/>
      <sheetName val="Scholarships"/>
      <sheetName val="Teacher Ed"/>
    </sheetNames>
    <sheetDataSet>
      <sheetData sheetId="0"/>
      <sheetData sheetId="1">
        <row r="5">
          <cell r="E5">
            <v>-23143.64027784756</v>
          </cell>
        </row>
        <row r="6">
          <cell r="E6">
            <v>-49913.72411628213</v>
          </cell>
        </row>
        <row r="7">
          <cell r="E7">
            <v>4387.6480910356076</v>
          </cell>
        </row>
        <row r="8">
          <cell r="E8">
            <v>20774.001807507215</v>
          </cell>
        </row>
        <row r="9">
          <cell r="E9">
            <v>-25340.48816263461</v>
          </cell>
        </row>
        <row r="10">
          <cell r="E10">
            <v>-177221.83716666605</v>
          </cell>
        </row>
        <row r="11">
          <cell r="E11">
            <v>-24484.865925111619</v>
          </cell>
        </row>
        <row r="14">
          <cell r="E14">
            <v>-38258.084335985593</v>
          </cell>
        </row>
        <row r="15">
          <cell r="E15">
            <v>382417.20978978649</v>
          </cell>
        </row>
        <row r="16">
          <cell r="E16">
            <v>-224647.45016121119</v>
          </cell>
        </row>
        <row r="17">
          <cell r="E17">
            <v>-49903.669138293713</v>
          </cell>
        </row>
        <row r="18">
          <cell r="E18">
            <v>48588.183266741573</v>
          </cell>
        </row>
        <row r="19">
          <cell r="E19">
            <v>-81913.512371070683</v>
          </cell>
        </row>
        <row r="22">
          <cell r="E22">
            <v>8657</v>
          </cell>
        </row>
        <row r="23">
          <cell r="E23">
            <v>41372.289999999979</v>
          </cell>
        </row>
        <row r="24">
          <cell r="E24">
            <v>92562.419999999925</v>
          </cell>
        </row>
        <row r="25">
          <cell r="E25">
            <v>250823.16999999993</v>
          </cell>
        </row>
        <row r="28">
          <cell r="E28">
            <v>-54493.099999999977</v>
          </cell>
        </row>
        <row r="29">
          <cell r="E29">
            <v>284543.86623741616</v>
          </cell>
        </row>
        <row r="30">
          <cell r="E30">
            <v>-112022.43999999994</v>
          </cell>
        </row>
        <row r="31">
          <cell r="E31">
            <v>1118324.5408191606</v>
          </cell>
        </row>
        <row r="32">
          <cell r="E32">
            <v>-275479.79100343212</v>
          </cell>
        </row>
        <row r="33">
          <cell r="E33">
            <v>-126205.31576575057</v>
          </cell>
        </row>
        <row r="35">
          <cell r="E35">
            <v>152650.80204000347</v>
          </cell>
        </row>
        <row r="37">
          <cell r="E37">
            <v>4465.698860286735</v>
          </cell>
        </row>
        <row r="38">
          <cell r="E38">
            <v>2810.7</v>
          </cell>
        </row>
        <row r="41">
          <cell r="E41">
            <v>321537.32316044811</v>
          </cell>
        </row>
        <row r="42">
          <cell r="E42">
            <v>-6056.0626582924742</v>
          </cell>
        </row>
        <row r="44">
          <cell r="E44">
            <v>-220445.70577981137</v>
          </cell>
        </row>
        <row r="47">
          <cell r="E47">
            <v>540205.16319537908</v>
          </cell>
        </row>
        <row r="48">
          <cell r="E48">
            <v>1151202.0550178457</v>
          </cell>
        </row>
        <row r="49">
          <cell r="E49">
            <v>32084</v>
          </cell>
        </row>
        <row r="50">
          <cell r="E50">
            <v>-5606.407564047724</v>
          </cell>
        </row>
        <row r="51">
          <cell r="E51">
            <v>27715.49512614985</v>
          </cell>
        </row>
        <row r="52">
          <cell r="E52">
            <v>-322385.92499999981</v>
          </cell>
        </row>
        <row r="53">
          <cell r="E53">
            <v>-56993.400000000373</v>
          </cell>
        </row>
        <row r="54">
          <cell r="E54">
            <v>243421.19999999925</v>
          </cell>
        </row>
        <row r="57">
          <cell r="E57">
            <v>718091.25</v>
          </cell>
        </row>
        <row r="58">
          <cell r="E58">
            <v>-132960</v>
          </cell>
        </row>
        <row r="62">
          <cell r="E62">
            <v>105501.02105136169</v>
          </cell>
        </row>
        <row r="63">
          <cell r="E63">
            <v>-903</v>
          </cell>
        </row>
        <row r="64">
          <cell r="E64">
            <v>406255.4304735749</v>
          </cell>
        </row>
        <row r="65">
          <cell r="E65">
            <v>253134.38999999966</v>
          </cell>
        </row>
        <row r="66">
          <cell r="E66">
            <v>17574.8</v>
          </cell>
        </row>
        <row r="67">
          <cell r="E67">
            <v>383136</v>
          </cell>
        </row>
        <row r="69">
          <cell r="E69">
            <v>306757.17972255964</v>
          </cell>
        </row>
        <row r="71">
          <cell r="E71">
            <v>-225785.72926933796</v>
          </cell>
        </row>
        <row r="75">
          <cell r="E75">
            <v>57589.230435623671</v>
          </cell>
        </row>
        <row r="76">
          <cell r="E76">
            <v>35101.610789980739</v>
          </cell>
        </row>
        <row r="77">
          <cell r="E77">
            <v>160038.33999999985</v>
          </cell>
        </row>
        <row r="78">
          <cell r="E78">
            <v>65328.079180887435</v>
          </cell>
        </row>
        <row r="81">
          <cell r="E81">
            <v>6350.1500000000233</v>
          </cell>
        </row>
        <row r="83">
          <cell r="E83">
            <v>90350</v>
          </cell>
        </row>
        <row r="85">
          <cell r="E85">
            <v>-80300</v>
          </cell>
        </row>
        <row r="87">
          <cell r="E87">
            <v>-9855</v>
          </cell>
        </row>
        <row r="88">
          <cell r="E88">
            <v>12000</v>
          </cell>
        </row>
        <row r="89">
          <cell r="E89">
            <v>16000</v>
          </cell>
        </row>
        <row r="90">
          <cell r="E90">
            <v>33750</v>
          </cell>
        </row>
        <row r="93">
          <cell r="E93">
            <v>4046</v>
          </cell>
        </row>
        <row r="94">
          <cell r="E94">
            <v>42450</v>
          </cell>
        </row>
        <row r="95">
          <cell r="E95">
            <v>6680</v>
          </cell>
        </row>
        <row r="96">
          <cell r="E96">
            <v>-2334</v>
          </cell>
        </row>
        <row r="97">
          <cell r="E97">
            <v>14256</v>
          </cell>
        </row>
        <row r="98">
          <cell r="E98">
            <v>-1580</v>
          </cell>
        </row>
        <row r="101">
          <cell r="E101">
            <v>89125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1"/>
  <sheetViews>
    <sheetView tabSelected="1" zoomScaleNormal="100" workbookViewId="0"/>
  </sheetViews>
  <sheetFormatPr defaultRowHeight="15.75"/>
  <cols>
    <col min="1" max="1" width="78.7109375" style="301" customWidth="1"/>
    <col min="2" max="16384" width="9.140625" style="301"/>
  </cols>
  <sheetData>
    <row r="1" spans="1:5">
      <c r="A1" s="299" t="s">
        <v>369</v>
      </c>
      <c r="B1" s="303"/>
    </row>
    <row r="3" spans="1:5" ht="31.5">
      <c r="A3" s="302" t="s">
        <v>148</v>
      </c>
      <c r="C3" s="303"/>
      <c r="D3" s="304"/>
      <c r="E3" s="304"/>
    </row>
    <row r="5" spans="1:5">
      <c r="A5" s="300" t="s">
        <v>34</v>
      </c>
    </row>
    <row r="7" spans="1:5" ht="47.25">
      <c r="A7" s="302" t="s">
        <v>290</v>
      </c>
    </row>
    <row r="9" spans="1:5" ht="47.25">
      <c r="A9" s="320" t="s">
        <v>291</v>
      </c>
    </row>
    <row r="11" spans="1:5" ht="47.25">
      <c r="A11" s="302" t="s">
        <v>292</v>
      </c>
    </row>
    <row r="13" spans="1:5" ht="94.5">
      <c r="A13" s="302" t="s">
        <v>293</v>
      </c>
    </row>
    <row r="15" spans="1:5" ht="72.75" customHeight="1">
      <c r="A15" s="470" t="s">
        <v>294</v>
      </c>
    </row>
    <row r="17" spans="1:1" ht="78.75">
      <c r="A17" s="470" t="s">
        <v>295</v>
      </c>
    </row>
    <row r="19" spans="1:1" ht="110.25">
      <c r="A19" s="470" t="s">
        <v>296</v>
      </c>
    </row>
    <row r="21" spans="1:1" ht="126">
      <c r="A21" s="302" t="s">
        <v>297</v>
      </c>
    </row>
    <row r="23" spans="1:1" ht="47.25">
      <c r="A23" s="302" t="s">
        <v>298</v>
      </c>
    </row>
    <row r="25" spans="1:1" ht="63">
      <c r="A25" s="302" t="s">
        <v>185</v>
      </c>
    </row>
    <row r="27" spans="1:1" ht="31.5">
      <c r="A27" s="470" t="s">
        <v>299</v>
      </c>
    </row>
    <row r="29" spans="1:1" ht="31.5">
      <c r="A29" s="302" t="s">
        <v>146</v>
      </c>
    </row>
    <row r="31" spans="1:1" ht="50.25" customHeight="1">
      <c r="A31" s="302" t="s">
        <v>300</v>
      </c>
    </row>
  </sheetData>
  <pageMargins left="0.75" right="0.75" top="1" bottom="1" header="0.5" footer="0.5"/>
  <pageSetup orientation="portrait" r:id="rId1"/>
  <headerFooter alignWithMargins="0">
    <oddFooter>&amp;L&amp;9&amp;D
&amp;F
&amp;A</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O41"/>
  <sheetViews>
    <sheetView zoomScaleNormal="100" workbookViewId="0">
      <selection sqref="A1:F1"/>
    </sheetView>
  </sheetViews>
  <sheetFormatPr defaultRowHeight="12.75"/>
  <cols>
    <col min="1" max="1" width="7.140625" style="245" bestFit="1" customWidth="1"/>
    <col min="2" max="2" width="42.42578125" style="245" bestFit="1" customWidth="1"/>
    <col min="3" max="3" width="13.42578125" style="245" customWidth="1"/>
    <col min="4" max="4" width="12.42578125" style="245" hidden="1" customWidth="1"/>
    <col min="5" max="7" width="12.42578125" style="245" customWidth="1"/>
    <col min="8" max="8" width="10.5703125" style="245" customWidth="1"/>
    <col min="9" max="9" width="9.28515625" style="245" bestFit="1" customWidth="1"/>
    <col min="10" max="10" width="12.85546875" style="245" bestFit="1" customWidth="1"/>
    <col min="11" max="12" width="11.28515625" style="245" bestFit="1" customWidth="1"/>
    <col min="13" max="16384" width="9.140625" style="245"/>
  </cols>
  <sheetData>
    <row r="1" spans="1:15">
      <c r="A1" s="626" t="s">
        <v>335</v>
      </c>
      <c r="B1" s="626"/>
      <c r="C1" s="626"/>
      <c r="D1" s="626"/>
      <c r="E1" s="626"/>
      <c r="F1" s="626"/>
      <c r="G1" s="244"/>
      <c r="H1" s="244"/>
    </row>
    <row r="2" spans="1:15">
      <c r="A2" s="626" t="s">
        <v>337</v>
      </c>
      <c r="B2" s="626"/>
      <c r="C2" s="626"/>
      <c r="D2" s="626"/>
      <c r="E2" s="626"/>
      <c r="F2" s="626"/>
      <c r="G2" s="244"/>
      <c r="H2" s="244"/>
    </row>
    <row r="3" spans="1:15">
      <c r="K3" s="247"/>
      <c r="L3" s="247"/>
      <c r="M3" s="247"/>
      <c r="N3" s="247"/>
      <c r="O3" s="247"/>
    </row>
    <row r="4" spans="1:15">
      <c r="K4" s="247"/>
      <c r="L4" s="247"/>
      <c r="M4" s="247"/>
      <c r="N4" s="247"/>
      <c r="O4" s="247"/>
    </row>
    <row r="5" spans="1:15" ht="13.15" customHeight="1">
      <c r="C5" s="248"/>
      <c r="D5" s="248"/>
      <c r="F5" s="258"/>
      <c r="G5" s="258"/>
      <c r="H5" s="258"/>
      <c r="K5" s="247"/>
      <c r="L5" s="247"/>
      <c r="M5" s="247"/>
      <c r="N5" s="247"/>
      <c r="O5" s="247"/>
    </row>
    <row r="6" spans="1:15" ht="15">
      <c r="A6" s="21" t="s">
        <v>142</v>
      </c>
      <c r="B6" s="21"/>
      <c r="C6" s="627"/>
      <c r="D6" s="627"/>
      <c r="E6" s="627"/>
      <c r="F6" s="627"/>
      <c r="G6" s="246"/>
      <c r="H6" s="262"/>
      <c r="K6" s="247"/>
      <c r="L6" s="247"/>
      <c r="M6" s="247"/>
      <c r="N6" s="247"/>
      <c r="O6" s="247"/>
    </row>
    <row r="7" spans="1:15">
      <c r="A7" s="272"/>
      <c r="B7" s="273"/>
      <c r="C7" s="521"/>
      <c r="D7" s="522"/>
      <c r="E7" s="264"/>
      <c r="F7" s="264"/>
      <c r="G7" s="264"/>
      <c r="H7" s="267"/>
      <c r="K7" s="247"/>
      <c r="L7" s="247"/>
      <c r="M7" s="247"/>
      <c r="N7" s="247"/>
      <c r="O7" s="247"/>
    </row>
    <row r="8" spans="1:15">
      <c r="A8" s="274"/>
      <c r="B8" s="275"/>
      <c r="C8" s="523" t="s">
        <v>336</v>
      </c>
      <c r="D8" s="524" t="s">
        <v>71</v>
      </c>
      <c r="E8" s="315" t="s">
        <v>71</v>
      </c>
      <c r="F8" s="265" t="s">
        <v>318</v>
      </c>
      <c r="G8" s="265" t="s">
        <v>232</v>
      </c>
      <c r="H8" s="268" t="s">
        <v>318</v>
      </c>
      <c r="K8" s="247"/>
      <c r="L8" s="247"/>
      <c r="M8" s="247"/>
      <c r="N8" s="247"/>
      <c r="O8" s="247"/>
    </row>
    <row r="9" spans="1:15">
      <c r="A9" s="276" t="s">
        <v>84</v>
      </c>
      <c r="B9" s="277"/>
      <c r="C9" s="525" t="s">
        <v>218</v>
      </c>
      <c r="D9" s="526" t="s">
        <v>149</v>
      </c>
      <c r="E9" s="266" t="s">
        <v>147</v>
      </c>
      <c r="F9" s="266" t="s">
        <v>144</v>
      </c>
      <c r="G9" s="266" t="s">
        <v>248</v>
      </c>
      <c r="H9" s="269" t="s">
        <v>131</v>
      </c>
      <c r="K9" s="247"/>
      <c r="L9" s="247"/>
      <c r="M9" s="247"/>
      <c r="N9" s="247"/>
      <c r="O9" s="247"/>
    </row>
    <row r="10" spans="1:15">
      <c r="A10" s="147" t="s">
        <v>37</v>
      </c>
      <c r="B10" s="250" t="s">
        <v>90</v>
      </c>
      <c r="C10" s="494">
        <v>79091.539999999994</v>
      </c>
      <c r="D10" s="495">
        <v>0</v>
      </c>
      <c r="E10" s="496">
        <f>-C10*0.05</f>
        <v>-3954.5769999999998</v>
      </c>
      <c r="F10" s="433">
        <f>SUM(C10:E10)</f>
        <v>75136.962999999989</v>
      </c>
      <c r="G10" s="494">
        <v>73954</v>
      </c>
      <c r="H10" s="494">
        <f>F10-G10</f>
        <v>1182.9629999999888</v>
      </c>
      <c r="I10" s="251"/>
      <c r="J10" s="259"/>
      <c r="K10" s="259"/>
      <c r="L10" s="259"/>
      <c r="M10" s="260"/>
      <c r="N10" s="247"/>
      <c r="O10" s="247"/>
    </row>
    <row r="11" spans="1:15">
      <c r="A11" s="157" t="s">
        <v>38</v>
      </c>
      <c r="B11" s="249" t="s">
        <v>381</v>
      </c>
      <c r="C11" s="494">
        <v>33362.44</v>
      </c>
      <c r="D11" s="494">
        <v>0</v>
      </c>
      <c r="E11" s="496">
        <f t="shared" ref="E11:E26" si="0">-C11*0.05</f>
        <v>-1668.1220000000003</v>
      </c>
      <c r="F11" s="433">
        <f t="shared" ref="F11:F26" si="1">SUM(C11:E11)</f>
        <v>31694.318000000003</v>
      </c>
      <c r="G11" s="497">
        <v>31195</v>
      </c>
      <c r="H11" s="497">
        <f t="shared" ref="H11:H26" si="2">F11-G11</f>
        <v>499.31800000000294</v>
      </c>
      <c r="I11" s="251"/>
      <c r="J11" s="259"/>
      <c r="K11" s="259"/>
      <c r="L11" s="259"/>
      <c r="M11" s="260"/>
      <c r="N11" s="247"/>
      <c r="O11" s="247"/>
    </row>
    <row r="12" spans="1:15">
      <c r="A12" s="279" t="s">
        <v>39</v>
      </c>
      <c r="B12" s="280" t="s">
        <v>92</v>
      </c>
      <c r="C12" s="494">
        <v>207530.23999999999</v>
      </c>
      <c r="D12" s="494">
        <v>0</v>
      </c>
      <c r="E12" s="496">
        <f t="shared" si="0"/>
        <v>-10376.512000000001</v>
      </c>
      <c r="F12" s="433">
        <f t="shared" si="1"/>
        <v>197153.728</v>
      </c>
      <c r="G12" s="497">
        <v>194049</v>
      </c>
      <c r="H12" s="497">
        <f t="shared" si="2"/>
        <v>3104.7280000000028</v>
      </c>
      <c r="I12" s="251"/>
      <c r="J12" s="259"/>
      <c r="K12" s="259"/>
      <c r="L12" s="259"/>
      <c r="M12" s="260"/>
      <c r="N12" s="247"/>
      <c r="O12" s="247"/>
    </row>
    <row r="13" spans="1:15">
      <c r="A13" s="157" t="s">
        <v>40</v>
      </c>
      <c r="B13" s="249" t="s">
        <v>93</v>
      </c>
      <c r="C13" s="494">
        <v>467696.3</v>
      </c>
      <c r="D13" s="494">
        <v>0</v>
      </c>
      <c r="E13" s="496">
        <f t="shared" si="0"/>
        <v>-23384.815000000002</v>
      </c>
      <c r="F13" s="433">
        <f t="shared" si="1"/>
        <v>444311.48499999999</v>
      </c>
      <c r="G13" s="497">
        <v>437314</v>
      </c>
      <c r="H13" s="497">
        <f t="shared" si="2"/>
        <v>6997.484999999986</v>
      </c>
      <c r="I13" s="251"/>
      <c r="J13" s="259"/>
      <c r="K13" s="259"/>
      <c r="L13" s="259"/>
      <c r="M13" s="260"/>
      <c r="N13" s="247"/>
      <c r="O13" s="247"/>
    </row>
    <row r="14" spans="1:15">
      <c r="A14" s="157" t="s">
        <v>41</v>
      </c>
      <c r="B14" s="249" t="s">
        <v>94</v>
      </c>
      <c r="C14" s="494">
        <v>233677.55</v>
      </c>
      <c r="D14" s="494">
        <v>0</v>
      </c>
      <c r="E14" s="496">
        <f t="shared" si="0"/>
        <v>-11683.877500000001</v>
      </c>
      <c r="F14" s="433">
        <f t="shared" si="1"/>
        <v>221993.67249999999</v>
      </c>
      <c r="G14" s="497">
        <v>218498</v>
      </c>
      <c r="H14" s="497">
        <f t="shared" si="2"/>
        <v>3495.672499999986</v>
      </c>
      <c r="I14" s="251"/>
      <c r="J14" s="259"/>
      <c r="K14" s="259"/>
      <c r="L14" s="259"/>
      <c r="M14" s="260"/>
      <c r="N14" s="247"/>
      <c r="O14" s="247"/>
    </row>
    <row r="15" spans="1:15">
      <c r="A15" s="157" t="s">
        <v>95</v>
      </c>
      <c r="B15" s="249" t="s">
        <v>96</v>
      </c>
      <c r="C15" s="494">
        <v>17348.2</v>
      </c>
      <c r="D15" s="494">
        <v>0</v>
      </c>
      <c r="E15" s="496">
        <f t="shared" si="0"/>
        <v>-867.41000000000008</v>
      </c>
      <c r="F15" s="433">
        <f t="shared" si="1"/>
        <v>16480.79</v>
      </c>
      <c r="G15" s="497">
        <v>16221</v>
      </c>
      <c r="H15" s="497">
        <f t="shared" si="2"/>
        <v>259.79000000000087</v>
      </c>
      <c r="I15" s="251"/>
      <c r="J15" s="259"/>
      <c r="K15" s="259"/>
      <c r="L15" s="259"/>
      <c r="M15" s="260"/>
      <c r="N15" s="247"/>
      <c r="O15" s="247"/>
    </row>
    <row r="16" spans="1:15">
      <c r="A16" s="157" t="s">
        <v>97</v>
      </c>
      <c r="B16" s="249" t="s">
        <v>98</v>
      </c>
      <c r="C16" s="494">
        <v>0</v>
      </c>
      <c r="D16" s="494">
        <v>0</v>
      </c>
      <c r="E16" s="496">
        <f t="shared" si="0"/>
        <v>0</v>
      </c>
      <c r="F16" s="433">
        <f t="shared" si="1"/>
        <v>0</v>
      </c>
      <c r="G16" s="497">
        <v>0</v>
      </c>
      <c r="H16" s="497">
        <f t="shared" si="2"/>
        <v>0</v>
      </c>
      <c r="I16" s="251"/>
      <c r="J16" s="259"/>
      <c r="K16" s="259"/>
      <c r="L16" s="259"/>
      <c r="M16" s="260"/>
      <c r="N16" s="247"/>
      <c r="O16" s="247"/>
    </row>
    <row r="17" spans="1:15">
      <c r="A17" s="157" t="s">
        <v>42</v>
      </c>
      <c r="B17" s="249" t="s">
        <v>99</v>
      </c>
      <c r="C17" s="494">
        <v>96259.9</v>
      </c>
      <c r="D17" s="494">
        <v>0</v>
      </c>
      <c r="E17" s="496">
        <f>-C17*0.05</f>
        <v>-4812.9949999999999</v>
      </c>
      <c r="F17" s="433">
        <f t="shared" si="1"/>
        <v>91446.904999999999</v>
      </c>
      <c r="G17" s="497">
        <v>90007</v>
      </c>
      <c r="H17" s="497">
        <f t="shared" si="2"/>
        <v>1439.9049999999988</v>
      </c>
      <c r="I17" s="251"/>
      <c r="J17" s="259"/>
      <c r="K17" s="259"/>
      <c r="L17" s="259"/>
      <c r="M17" s="260"/>
      <c r="N17" s="247"/>
      <c r="O17" s="247"/>
    </row>
    <row r="18" spans="1:15">
      <c r="A18" s="157" t="s">
        <v>100</v>
      </c>
      <c r="B18" s="21" t="s">
        <v>101</v>
      </c>
      <c r="C18" s="494">
        <v>0</v>
      </c>
      <c r="D18" s="494">
        <v>0</v>
      </c>
      <c r="E18" s="496">
        <f t="shared" si="0"/>
        <v>0</v>
      </c>
      <c r="F18" s="433">
        <f t="shared" si="1"/>
        <v>0</v>
      </c>
      <c r="G18" s="497">
        <v>0</v>
      </c>
      <c r="H18" s="497">
        <f t="shared" si="2"/>
        <v>0</v>
      </c>
      <c r="I18" s="251"/>
      <c r="J18" s="259"/>
      <c r="K18" s="259"/>
      <c r="L18" s="259"/>
      <c r="M18" s="260"/>
      <c r="N18" s="247"/>
      <c r="O18" s="247"/>
    </row>
    <row r="19" spans="1:15">
      <c r="A19" s="157" t="s">
        <v>43</v>
      </c>
      <c r="B19" s="249" t="s">
        <v>102</v>
      </c>
      <c r="C19" s="494">
        <v>278411.43</v>
      </c>
      <c r="D19" s="494">
        <v>0</v>
      </c>
      <c r="E19" s="496">
        <f t="shared" si="0"/>
        <v>-13920.5715</v>
      </c>
      <c r="F19" s="433">
        <f t="shared" si="1"/>
        <v>264490.85849999997</v>
      </c>
      <c r="G19" s="497">
        <v>260326</v>
      </c>
      <c r="H19" s="497">
        <f t="shared" si="2"/>
        <v>4164.858499999973</v>
      </c>
      <c r="I19" s="251"/>
      <c r="J19" s="259"/>
      <c r="K19" s="259"/>
      <c r="L19" s="259"/>
      <c r="M19" s="260"/>
      <c r="N19" s="247"/>
      <c r="O19" s="247"/>
    </row>
    <row r="20" spans="1:15">
      <c r="A20" s="157" t="s">
        <v>103</v>
      </c>
      <c r="B20" s="249" t="s">
        <v>104</v>
      </c>
      <c r="C20" s="494">
        <v>4490.72</v>
      </c>
      <c r="D20" s="494">
        <v>0</v>
      </c>
      <c r="E20" s="496">
        <f t="shared" si="0"/>
        <v>-224.53600000000003</v>
      </c>
      <c r="F20" s="433">
        <f t="shared" si="1"/>
        <v>4266.1840000000002</v>
      </c>
      <c r="G20" s="497">
        <v>4199</v>
      </c>
      <c r="H20" s="497">
        <f t="shared" si="2"/>
        <v>67.184000000000196</v>
      </c>
      <c r="I20" s="251"/>
      <c r="J20" s="259"/>
      <c r="K20" s="259"/>
      <c r="L20" s="259"/>
      <c r="M20" s="260"/>
      <c r="N20" s="247"/>
      <c r="O20" s="247"/>
    </row>
    <row r="21" spans="1:15">
      <c r="A21" s="157" t="s">
        <v>105</v>
      </c>
      <c r="B21" s="249" t="s">
        <v>106</v>
      </c>
      <c r="C21" s="494">
        <v>0</v>
      </c>
      <c r="D21" s="494">
        <v>0</v>
      </c>
      <c r="E21" s="496">
        <f t="shared" si="0"/>
        <v>0</v>
      </c>
      <c r="F21" s="433">
        <f t="shared" si="1"/>
        <v>0</v>
      </c>
      <c r="G21" s="497">
        <v>0</v>
      </c>
      <c r="H21" s="497">
        <f t="shared" si="2"/>
        <v>0</v>
      </c>
      <c r="I21" s="251"/>
      <c r="J21" s="259"/>
      <c r="K21" s="259"/>
      <c r="L21" s="259"/>
      <c r="M21" s="260"/>
      <c r="N21" s="247"/>
      <c r="O21" s="247"/>
    </row>
    <row r="22" spans="1:15">
      <c r="A22" s="157" t="s">
        <v>107</v>
      </c>
      <c r="B22" s="249" t="s">
        <v>108</v>
      </c>
      <c r="C22" s="494">
        <v>0</v>
      </c>
      <c r="D22" s="494">
        <v>0</v>
      </c>
      <c r="E22" s="496">
        <f t="shared" si="0"/>
        <v>0</v>
      </c>
      <c r="F22" s="433">
        <f t="shared" si="1"/>
        <v>0</v>
      </c>
      <c r="G22" s="497">
        <v>0</v>
      </c>
      <c r="H22" s="497">
        <f t="shared" si="2"/>
        <v>0</v>
      </c>
      <c r="I22" s="251"/>
      <c r="J22" s="259"/>
      <c r="K22" s="259"/>
      <c r="L22" s="259"/>
      <c r="M22" s="260"/>
      <c r="N22" s="247"/>
      <c r="O22" s="247"/>
    </row>
    <row r="23" spans="1:15">
      <c r="A23" s="279" t="s">
        <v>44</v>
      </c>
      <c r="B23" s="280" t="s">
        <v>109</v>
      </c>
      <c r="C23" s="494">
        <v>4353.5600000000004</v>
      </c>
      <c r="D23" s="494">
        <v>0</v>
      </c>
      <c r="E23" s="496">
        <f t="shared" si="0"/>
        <v>-217.67800000000003</v>
      </c>
      <c r="F23" s="433">
        <f t="shared" si="1"/>
        <v>4135.8820000000005</v>
      </c>
      <c r="G23" s="497">
        <v>4071</v>
      </c>
      <c r="H23" s="497">
        <f t="shared" si="2"/>
        <v>64.882000000000517</v>
      </c>
      <c r="I23" s="251"/>
      <c r="J23" s="259"/>
      <c r="K23" s="259"/>
      <c r="L23" s="259"/>
      <c r="M23" s="260"/>
      <c r="N23" s="253"/>
      <c r="O23" s="247"/>
    </row>
    <row r="24" spans="1:15">
      <c r="A24" s="279" t="s">
        <v>45</v>
      </c>
      <c r="B24" s="280" t="s">
        <v>110</v>
      </c>
      <c r="C24" s="494">
        <v>637512.87</v>
      </c>
      <c r="D24" s="494">
        <v>0</v>
      </c>
      <c r="E24" s="496">
        <f t="shared" si="0"/>
        <v>-31875.643500000002</v>
      </c>
      <c r="F24" s="433">
        <f t="shared" si="1"/>
        <v>605637.22649999999</v>
      </c>
      <c r="G24" s="497">
        <v>596100</v>
      </c>
      <c r="H24" s="497">
        <f t="shared" si="2"/>
        <v>9537.2264999999898</v>
      </c>
      <c r="I24" s="251"/>
      <c r="J24" s="259"/>
      <c r="K24" s="259"/>
      <c r="L24" s="259"/>
      <c r="M24" s="260"/>
      <c r="N24" s="247"/>
      <c r="O24" s="247"/>
    </row>
    <row r="25" spans="1:15">
      <c r="A25" s="281" t="s">
        <v>46</v>
      </c>
      <c r="B25" s="314" t="s">
        <v>212</v>
      </c>
      <c r="C25" s="494">
        <v>0</v>
      </c>
      <c r="D25" s="494">
        <v>0</v>
      </c>
      <c r="E25" s="496">
        <f t="shared" si="0"/>
        <v>0</v>
      </c>
      <c r="F25" s="433">
        <f t="shared" si="1"/>
        <v>0</v>
      </c>
      <c r="G25" s="497">
        <v>0</v>
      </c>
      <c r="H25" s="497">
        <f t="shared" si="2"/>
        <v>0</v>
      </c>
      <c r="I25" s="251"/>
      <c r="J25" s="259"/>
      <c r="K25" s="259"/>
      <c r="L25" s="259"/>
      <c r="M25" s="260"/>
      <c r="N25" s="253"/>
      <c r="O25" s="247"/>
    </row>
    <row r="26" spans="1:15">
      <c r="A26" s="282" t="s">
        <v>47</v>
      </c>
      <c r="B26" s="314" t="s">
        <v>288</v>
      </c>
      <c r="C26" s="498">
        <v>203452.52</v>
      </c>
      <c r="D26" s="494">
        <v>0</v>
      </c>
      <c r="E26" s="496">
        <f t="shared" si="0"/>
        <v>-10172.626</v>
      </c>
      <c r="F26" s="433">
        <f t="shared" si="1"/>
        <v>193279.894</v>
      </c>
      <c r="G26" s="499">
        <v>190236</v>
      </c>
      <c r="H26" s="499">
        <f t="shared" si="2"/>
        <v>3043.8940000000002</v>
      </c>
      <c r="I26" s="251"/>
      <c r="J26" s="259"/>
      <c r="K26" s="259"/>
      <c r="L26" s="259"/>
      <c r="M26" s="260"/>
      <c r="N26" s="247"/>
      <c r="O26" s="247"/>
    </row>
    <row r="27" spans="1:15" ht="18" customHeight="1">
      <c r="A27" s="270"/>
      <c r="B27" s="271" t="s">
        <v>113</v>
      </c>
      <c r="C27" s="500">
        <f t="shared" ref="C27:H27" si="3">SUM(C10:C26)</f>
        <v>2263187.27</v>
      </c>
      <c r="D27" s="501">
        <f t="shared" si="3"/>
        <v>0</v>
      </c>
      <c r="E27" s="502">
        <f t="shared" si="3"/>
        <v>-113159.36350000002</v>
      </c>
      <c r="F27" s="503">
        <f t="shared" si="3"/>
        <v>2150027.9064999996</v>
      </c>
      <c r="G27" s="503">
        <f t="shared" si="3"/>
        <v>2116170</v>
      </c>
      <c r="H27" s="503">
        <f t="shared" si="3"/>
        <v>33857.906499999932</v>
      </c>
      <c r="J27" s="259"/>
      <c r="K27" s="259"/>
      <c r="L27" s="259"/>
      <c r="M27" s="260"/>
      <c r="N27" s="253"/>
      <c r="O27" s="247"/>
    </row>
    <row r="28" spans="1:15">
      <c r="E28" s="263"/>
      <c r="J28" s="259"/>
      <c r="K28" s="259"/>
      <c r="L28" s="259"/>
      <c r="M28" s="260"/>
      <c r="N28" s="247"/>
      <c r="O28" s="247"/>
    </row>
    <row r="29" spans="1:15">
      <c r="A29" s="254"/>
      <c r="B29" s="254"/>
      <c r="C29" s="307"/>
      <c r="D29" s="307"/>
      <c r="F29" s="549"/>
      <c r="J29" s="259"/>
      <c r="K29" s="259"/>
      <c r="L29" s="259"/>
      <c r="M29" s="260"/>
      <c r="N29" s="247"/>
      <c r="O29" s="247"/>
    </row>
    <row r="30" spans="1:15">
      <c r="A30" s="247"/>
      <c r="B30" s="247"/>
      <c r="C30" s="247"/>
      <c r="D30" s="247"/>
      <c r="F30" s="549"/>
      <c r="I30" s="255"/>
      <c r="J30" s="259"/>
      <c r="K30" s="259"/>
      <c r="L30" s="259"/>
      <c r="M30" s="260"/>
      <c r="N30" s="247"/>
      <c r="O30" s="247"/>
    </row>
    <row r="31" spans="1:15">
      <c r="A31" s="247"/>
      <c r="B31" s="247"/>
      <c r="C31" s="308"/>
      <c r="D31" s="308"/>
      <c r="E31" s="256"/>
      <c r="F31" s="256"/>
      <c r="G31" s="256"/>
      <c r="H31" s="256"/>
      <c r="I31" s="256"/>
      <c r="J31" s="256"/>
      <c r="K31" s="252"/>
      <c r="L31" s="252"/>
      <c r="M31" s="252"/>
      <c r="N31" s="247"/>
      <c r="O31" s="247"/>
    </row>
    <row r="32" spans="1:15">
      <c r="A32" s="247"/>
      <c r="B32" s="306"/>
      <c r="C32" s="355"/>
      <c r="D32" s="257"/>
      <c r="K32" s="252"/>
      <c r="L32" s="252"/>
      <c r="M32" s="252"/>
      <c r="N32" s="247"/>
      <c r="O32" s="247"/>
    </row>
    <row r="33" spans="1:15">
      <c r="A33" s="247"/>
      <c r="B33" s="247"/>
      <c r="C33" s="247"/>
      <c r="D33" s="247"/>
      <c r="K33" s="252"/>
      <c r="L33" s="252"/>
      <c r="M33" s="252"/>
      <c r="N33" s="247"/>
      <c r="O33" s="247"/>
    </row>
    <row r="34" spans="1:15">
      <c r="A34" s="247"/>
      <c r="B34" s="247"/>
      <c r="C34" s="247"/>
      <c r="D34" s="247"/>
      <c r="E34" s="461"/>
      <c r="K34" s="252"/>
      <c r="L34" s="252"/>
      <c r="M34" s="252"/>
      <c r="N34" s="247"/>
      <c r="O34" s="247"/>
    </row>
    <row r="35" spans="1:15">
      <c r="K35" s="252"/>
      <c r="L35" s="252"/>
      <c r="M35" s="252"/>
      <c r="N35" s="247"/>
      <c r="O35" s="247"/>
    </row>
    <row r="36" spans="1:15">
      <c r="K36" s="252"/>
      <c r="L36" s="252"/>
      <c r="M36" s="252"/>
      <c r="N36" s="247"/>
      <c r="O36" s="247"/>
    </row>
    <row r="37" spans="1:15">
      <c r="K37" s="252"/>
      <c r="L37" s="252"/>
      <c r="M37" s="252"/>
      <c r="N37" s="247"/>
      <c r="O37" s="247"/>
    </row>
    <row r="38" spans="1:15">
      <c r="K38" s="252"/>
      <c r="L38" s="252"/>
      <c r="M38" s="252"/>
      <c r="N38" s="247"/>
      <c r="O38" s="247"/>
    </row>
    <row r="39" spans="1:15">
      <c r="K39" s="252"/>
      <c r="L39" s="252"/>
      <c r="M39" s="252"/>
      <c r="N39" s="247"/>
      <c r="O39" s="247"/>
    </row>
    <row r="40" spans="1:15">
      <c r="K40" s="252"/>
      <c r="L40" s="252"/>
      <c r="M40" s="252"/>
      <c r="N40" s="247"/>
      <c r="O40" s="247"/>
    </row>
    <row r="41" spans="1:15">
      <c r="K41" s="247"/>
      <c r="L41" s="247"/>
      <c r="M41" s="247"/>
      <c r="N41" s="247"/>
      <c r="O41" s="247"/>
    </row>
  </sheetData>
  <mergeCells count="3">
    <mergeCell ref="A1:F1"/>
    <mergeCell ref="A2:F2"/>
    <mergeCell ref="C6:F6"/>
  </mergeCells>
  <pageMargins left="0.75" right="0.75" top="1" bottom="1" header="0.5" footer="0.5"/>
  <pageSetup orientation="landscape" r:id="rId1"/>
  <headerFooter alignWithMargins="0">
    <oddFooter>&amp;L&amp;9&amp;D
&amp;F
&amp;A</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S228"/>
  <sheetViews>
    <sheetView topLeftCell="A4" workbookViewId="0">
      <selection activeCell="A26" sqref="A26"/>
    </sheetView>
  </sheetViews>
  <sheetFormatPr defaultRowHeight="12.75"/>
  <cols>
    <col min="1" max="1" width="7.140625" style="114" bestFit="1" customWidth="1"/>
    <col min="2" max="2" width="22" style="114" bestFit="1" customWidth="1"/>
    <col min="3" max="3" width="13.42578125" style="114" bestFit="1" customWidth="1"/>
    <col min="4" max="4" width="12.28515625" style="114" customWidth="1"/>
    <col min="5" max="6" width="13.42578125" style="114" bestFit="1" customWidth="1"/>
    <col min="7" max="7" width="8.85546875" style="114" bestFit="1" customWidth="1"/>
    <col min="8" max="8" width="12.28515625" style="114" bestFit="1" customWidth="1"/>
    <col min="9" max="9" width="11.28515625" style="114" bestFit="1" customWidth="1"/>
    <col min="10" max="12" width="12.28515625" style="114" bestFit="1" customWidth="1"/>
    <col min="13" max="13" width="16.5703125" style="114" bestFit="1" customWidth="1"/>
    <col min="14" max="14" width="10.7109375" style="114" bestFit="1" customWidth="1"/>
    <col min="15" max="16" width="12.28515625" style="114" bestFit="1" customWidth="1"/>
    <col min="17" max="17" width="12.85546875" style="114" bestFit="1" customWidth="1"/>
    <col min="18" max="18" width="11.28515625" style="114" bestFit="1" customWidth="1"/>
    <col min="19" max="19" width="12.28515625" style="114" bestFit="1" customWidth="1"/>
    <col min="20" max="16384" width="9.140625" style="114"/>
  </cols>
  <sheetData>
    <row r="1" spans="1:19" ht="18">
      <c r="A1" s="624" t="s">
        <v>130</v>
      </c>
      <c r="B1" s="624"/>
      <c r="C1" s="624"/>
      <c r="D1" s="624"/>
      <c r="E1" s="624"/>
      <c r="F1" s="624"/>
      <c r="G1" s="624"/>
      <c r="H1" s="624"/>
      <c r="I1" s="624"/>
      <c r="J1" s="624"/>
      <c r="K1" s="624"/>
      <c r="L1" s="624"/>
      <c r="M1" s="624"/>
      <c r="N1" s="624"/>
    </row>
    <row r="2" spans="1:19" ht="15">
      <c r="C2" s="115"/>
      <c r="D2" s="115"/>
      <c r="E2" s="115"/>
      <c r="F2" s="115"/>
      <c r="G2" s="115"/>
      <c r="H2" s="115"/>
      <c r="I2" s="115"/>
      <c r="J2" s="115"/>
      <c r="K2" s="115"/>
      <c r="L2" s="115"/>
      <c r="M2" s="115"/>
      <c r="N2" s="115"/>
    </row>
    <row r="3" spans="1:19" ht="15">
      <c r="C3" s="115"/>
      <c r="D3" s="115"/>
      <c r="E3" s="115"/>
      <c r="F3" s="115"/>
      <c r="G3" s="115"/>
      <c r="H3" s="115"/>
      <c r="I3" s="115"/>
      <c r="J3" s="115"/>
      <c r="K3" s="115"/>
      <c r="L3" s="115"/>
      <c r="M3" s="115"/>
      <c r="N3" s="115"/>
    </row>
    <row r="4" spans="1:19" ht="15">
      <c r="C4" s="116"/>
      <c r="D4" s="116"/>
      <c r="E4" s="116"/>
      <c r="F4" s="116"/>
      <c r="G4" s="115"/>
      <c r="H4" s="115"/>
      <c r="I4" s="115"/>
      <c r="J4" s="115"/>
      <c r="K4" s="115"/>
      <c r="L4" s="115"/>
      <c r="M4" s="115"/>
      <c r="N4" s="115"/>
    </row>
    <row r="5" spans="1:19" ht="15">
      <c r="C5" s="622"/>
      <c r="D5" s="622"/>
      <c r="E5" s="622"/>
      <c r="F5" s="622"/>
      <c r="G5" s="622"/>
      <c r="H5" s="622"/>
      <c r="I5" s="622"/>
      <c r="J5" s="622"/>
      <c r="K5" s="622"/>
      <c r="L5" s="115"/>
      <c r="M5" s="224">
        <v>0.1</v>
      </c>
      <c r="N5" s="115"/>
      <c r="R5" s="221">
        <v>0</v>
      </c>
    </row>
    <row r="6" spans="1:19" ht="13.5" thickBot="1">
      <c r="B6" s="117"/>
      <c r="C6" s="118" t="s">
        <v>66</v>
      </c>
      <c r="D6" s="119"/>
      <c r="E6" s="120"/>
      <c r="F6" s="119"/>
      <c r="G6" s="120"/>
      <c r="H6" s="120"/>
      <c r="I6" s="120"/>
      <c r="J6" s="120"/>
      <c r="K6" s="120"/>
      <c r="L6" s="120"/>
      <c r="M6" s="121"/>
      <c r="N6" s="122" t="s">
        <v>67</v>
      </c>
      <c r="O6" s="123"/>
      <c r="P6" s="123"/>
      <c r="Q6" s="213"/>
      <c r="R6" s="124"/>
      <c r="S6" s="124"/>
    </row>
    <row r="7" spans="1:19" ht="13.5" thickTop="1">
      <c r="B7" s="125"/>
      <c r="C7" s="126"/>
      <c r="D7" s="127" t="s">
        <v>68</v>
      </c>
      <c r="E7" s="128" t="s">
        <v>69</v>
      </c>
      <c r="F7" s="129" t="s">
        <v>70</v>
      </c>
      <c r="G7" s="130"/>
      <c r="H7" s="127"/>
      <c r="I7" s="127"/>
      <c r="J7" s="117"/>
      <c r="K7" s="117"/>
      <c r="L7" s="117"/>
      <c r="N7" s="131" t="s">
        <v>71</v>
      </c>
      <c r="O7" s="132" t="s">
        <v>72</v>
      </c>
      <c r="P7" s="132" t="s">
        <v>72</v>
      </c>
      <c r="Q7" s="214" t="s">
        <v>72</v>
      </c>
      <c r="R7" s="133" t="s">
        <v>72</v>
      </c>
      <c r="S7" s="133" t="s">
        <v>72</v>
      </c>
    </row>
    <row r="8" spans="1:19">
      <c r="B8" s="125"/>
      <c r="C8" s="126" t="s">
        <v>73</v>
      </c>
      <c r="D8" s="127" t="s">
        <v>74</v>
      </c>
      <c r="E8" s="128" t="s">
        <v>75</v>
      </c>
      <c r="F8" s="129" t="s">
        <v>76</v>
      </c>
      <c r="G8" s="130"/>
      <c r="H8" s="127" t="s">
        <v>77</v>
      </c>
      <c r="I8" s="127" t="s">
        <v>77</v>
      </c>
      <c r="J8" s="131" t="s">
        <v>78</v>
      </c>
      <c r="K8" s="131"/>
      <c r="L8" s="131" t="s">
        <v>79</v>
      </c>
      <c r="M8" s="131" t="s">
        <v>71</v>
      </c>
      <c r="N8" s="134" t="s">
        <v>80</v>
      </c>
      <c r="O8" s="135" t="s">
        <v>81</v>
      </c>
      <c r="P8" s="135" t="s">
        <v>82</v>
      </c>
      <c r="Q8" s="215" t="s">
        <v>83</v>
      </c>
      <c r="R8" s="136" t="s">
        <v>83</v>
      </c>
      <c r="S8" s="136" t="s">
        <v>83</v>
      </c>
    </row>
    <row r="9" spans="1:19">
      <c r="A9" s="137" t="s">
        <v>84</v>
      </c>
      <c r="B9" s="138"/>
      <c r="C9" s="139" t="s">
        <v>9</v>
      </c>
      <c r="D9" s="140" t="s">
        <v>85</v>
      </c>
      <c r="E9" s="141" t="s">
        <v>9</v>
      </c>
      <c r="F9" s="142" t="s">
        <v>84</v>
      </c>
      <c r="G9" s="143" t="s">
        <v>86</v>
      </c>
      <c r="H9" s="140" t="s">
        <v>70</v>
      </c>
      <c r="I9" s="140" t="s">
        <v>87</v>
      </c>
      <c r="J9" s="144" t="s">
        <v>87</v>
      </c>
      <c r="K9" s="144" t="s">
        <v>36</v>
      </c>
      <c r="L9" s="144" t="s">
        <v>9</v>
      </c>
      <c r="M9" s="144" t="s">
        <v>88</v>
      </c>
      <c r="N9" s="144" t="s">
        <v>89</v>
      </c>
      <c r="O9" s="145" t="s">
        <v>51</v>
      </c>
      <c r="P9" s="145" t="s">
        <v>51</v>
      </c>
      <c r="Q9" s="216" t="s">
        <v>36</v>
      </c>
      <c r="R9" s="146" t="s">
        <v>127</v>
      </c>
      <c r="S9" s="146" t="s">
        <v>125</v>
      </c>
    </row>
    <row r="10" spans="1:19" ht="15">
      <c r="A10" s="147" t="s">
        <v>37</v>
      </c>
      <c r="B10" s="21" t="s">
        <v>90</v>
      </c>
      <c r="C10" s="148">
        <v>7377824</v>
      </c>
      <c r="D10" s="149">
        <v>0</v>
      </c>
      <c r="E10" s="150">
        <f>+D10+C10</f>
        <v>7377824</v>
      </c>
      <c r="F10" s="151">
        <v>6906530</v>
      </c>
      <c r="G10" s="222">
        <f>F10/E10</f>
        <v>0.93612018936748831</v>
      </c>
      <c r="H10" s="152">
        <f>G10*C10</f>
        <v>6906530</v>
      </c>
      <c r="I10" s="152">
        <f>C10-H10</f>
        <v>471294</v>
      </c>
      <c r="J10" s="153">
        <f t="shared" ref="J10:J26" si="0">+E10-F10</f>
        <v>471294</v>
      </c>
      <c r="K10" s="154">
        <v>0</v>
      </c>
      <c r="L10" s="154">
        <f>J10+K10</f>
        <v>471294</v>
      </c>
      <c r="M10" s="154">
        <f>-I10*$M$5</f>
        <v>-47129.4</v>
      </c>
      <c r="N10" s="154">
        <f>-8526</f>
        <v>-8526</v>
      </c>
      <c r="O10" s="155">
        <f>SUM(L10:N10)</f>
        <v>415638.6</v>
      </c>
      <c r="P10" s="155">
        <v>277300</v>
      </c>
      <c r="Q10" s="217">
        <f>O10-P10</f>
        <v>138338.59999999998</v>
      </c>
      <c r="R10" s="156">
        <f>Q10*$R$5</f>
        <v>0</v>
      </c>
      <c r="S10" s="156">
        <f>R10+P10</f>
        <v>277300</v>
      </c>
    </row>
    <row r="11" spans="1:19" ht="15">
      <c r="A11" s="157" t="s">
        <v>38</v>
      </c>
      <c r="B11" s="21" t="s">
        <v>91</v>
      </c>
      <c r="C11" s="158">
        <f>7077233-C41</f>
        <v>1483901.5</v>
      </c>
      <c r="D11" s="149">
        <f>4831529-D41</f>
        <v>103781.5</v>
      </c>
      <c r="E11" s="159">
        <f t="shared" ref="E11:E26" si="1">+D11+C11</f>
        <v>1587683</v>
      </c>
      <c r="F11" s="151">
        <f>2795000-E41</f>
        <v>1578225</v>
      </c>
      <c r="G11" s="222">
        <f t="shared" ref="G11:G27" si="2">F11/E11</f>
        <v>0.99404289143361746</v>
      </c>
      <c r="H11" s="152">
        <f t="shared" ref="H11:H26" si="3">G11*C11</f>
        <v>1475061.7376626821</v>
      </c>
      <c r="I11" s="152">
        <f t="shared" ref="I11:I26" si="4">C11-H11</f>
        <v>8839.7623373179231</v>
      </c>
      <c r="J11" s="154">
        <f t="shared" si="0"/>
        <v>9458</v>
      </c>
      <c r="K11" s="160">
        <v>0</v>
      </c>
      <c r="L11" s="154">
        <f t="shared" ref="L11:L26" si="5">J11+K11</f>
        <v>9458</v>
      </c>
      <c r="M11" s="154">
        <f t="shared" ref="M11:M26" si="6">-I11*$M$5</f>
        <v>-883.97623373179238</v>
      </c>
      <c r="N11" s="154">
        <v>0</v>
      </c>
      <c r="O11" s="161">
        <f t="shared" ref="O11:O26" si="7">SUM(L11:N11)</f>
        <v>8574.0237662682084</v>
      </c>
      <c r="P11" s="161">
        <v>3600</v>
      </c>
      <c r="Q11" s="218">
        <f t="shared" ref="Q11:Q26" si="8">O11-P11</f>
        <v>4974.0237662682084</v>
      </c>
      <c r="R11" s="162">
        <f t="shared" ref="R11:R26" si="9">Q11*$R$5</f>
        <v>0</v>
      </c>
      <c r="S11" s="162">
        <f t="shared" ref="S11:S26" si="10">R11+P11</f>
        <v>3600</v>
      </c>
    </row>
    <row r="12" spans="1:19" ht="15">
      <c r="A12" s="157" t="s">
        <v>39</v>
      </c>
      <c r="B12" s="21" t="s">
        <v>92</v>
      </c>
      <c r="C12" s="158">
        <v>8113165</v>
      </c>
      <c r="D12" s="149">
        <v>0</v>
      </c>
      <c r="E12" s="159">
        <f t="shared" si="1"/>
        <v>8113165</v>
      </c>
      <c r="F12" s="151">
        <v>6944997</v>
      </c>
      <c r="G12" s="222">
        <f t="shared" si="2"/>
        <v>0.85601574724537222</v>
      </c>
      <c r="H12" s="152">
        <f t="shared" si="3"/>
        <v>6944997</v>
      </c>
      <c r="I12" s="152">
        <f t="shared" si="4"/>
        <v>1168168</v>
      </c>
      <c r="J12" s="154">
        <f t="shared" si="0"/>
        <v>1168168</v>
      </c>
      <c r="K12" s="154">
        <v>0</v>
      </c>
      <c r="L12" s="154">
        <f t="shared" si="5"/>
        <v>1168168</v>
      </c>
      <c r="M12" s="154">
        <f t="shared" si="6"/>
        <v>-116816.8</v>
      </c>
      <c r="N12" s="154">
        <v>-77730</v>
      </c>
      <c r="O12" s="161">
        <f t="shared" si="7"/>
        <v>973621.2</v>
      </c>
      <c r="P12" s="161">
        <v>1171000</v>
      </c>
      <c r="Q12" s="218">
        <f t="shared" si="8"/>
        <v>-197378.80000000005</v>
      </c>
      <c r="R12" s="162">
        <v>0</v>
      </c>
      <c r="S12" s="162">
        <f t="shared" si="10"/>
        <v>1171000</v>
      </c>
    </row>
    <row r="13" spans="1:19" ht="15">
      <c r="A13" s="157" t="s">
        <v>40</v>
      </c>
      <c r="B13" s="21" t="s">
        <v>93</v>
      </c>
      <c r="C13" s="158">
        <v>40899164</v>
      </c>
      <c r="D13" s="149">
        <v>7495201</v>
      </c>
      <c r="E13" s="159">
        <f t="shared" si="1"/>
        <v>48394365</v>
      </c>
      <c r="F13" s="151">
        <v>44475831</v>
      </c>
      <c r="G13" s="222">
        <f t="shared" si="2"/>
        <v>0.91902912663488823</v>
      </c>
      <c r="H13" s="152">
        <f t="shared" si="3"/>
        <v>37587522.971017063</v>
      </c>
      <c r="I13" s="152">
        <f t="shared" si="4"/>
        <v>3311641.0289829373</v>
      </c>
      <c r="J13" s="154">
        <f t="shared" si="0"/>
        <v>3918534</v>
      </c>
      <c r="K13" s="154">
        <v>0</v>
      </c>
      <c r="L13" s="154">
        <f t="shared" si="5"/>
        <v>3918534</v>
      </c>
      <c r="M13" s="154">
        <f t="shared" si="6"/>
        <v>-331164.10289829376</v>
      </c>
      <c r="N13" s="154">
        <v>-34305</v>
      </c>
      <c r="O13" s="161">
        <f t="shared" si="7"/>
        <v>3553064.8971017064</v>
      </c>
      <c r="P13" s="161">
        <v>2874200</v>
      </c>
      <c r="Q13" s="218">
        <f t="shared" si="8"/>
        <v>678864.89710170636</v>
      </c>
      <c r="R13" s="162">
        <f t="shared" si="9"/>
        <v>0</v>
      </c>
      <c r="S13" s="162">
        <f t="shared" si="10"/>
        <v>2874200</v>
      </c>
    </row>
    <row r="14" spans="1:19" ht="15">
      <c r="A14" s="157" t="s">
        <v>41</v>
      </c>
      <c r="B14" s="21" t="s">
        <v>94</v>
      </c>
      <c r="C14" s="158">
        <v>12476573</v>
      </c>
      <c r="D14" s="149">
        <v>747544</v>
      </c>
      <c r="E14" s="159">
        <f t="shared" si="1"/>
        <v>13224117</v>
      </c>
      <c r="F14" s="151">
        <v>10373432</v>
      </c>
      <c r="G14" s="222">
        <f t="shared" si="2"/>
        <v>0.78443286610364982</v>
      </c>
      <c r="H14" s="152">
        <f t="shared" si="3"/>
        <v>9787033.9175414126</v>
      </c>
      <c r="I14" s="152">
        <f t="shared" si="4"/>
        <v>2689539.0824585874</v>
      </c>
      <c r="J14" s="154">
        <f t="shared" si="0"/>
        <v>2850685</v>
      </c>
      <c r="K14" s="154">
        <v>0</v>
      </c>
      <c r="L14" s="154">
        <f t="shared" si="5"/>
        <v>2850685</v>
      </c>
      <c r="M14" s="154">
        <f t="shared" si="6"/>
        <v>-268953.90824585874</v>
      </c>
      <c r="N14" s="154">
        <v>-22950</v>
      </c>
      <c r="O14" s="161">
        <f t="shared" si="7"/>
        <v>2558781.0917541413</v>
      </c>
      <c r="P14" s="161">
        <v>2401900</v>
      </c>
      <c r="Q14" s="218">
        <f t="shared" si="8"/>
        <v>156881.09175414126</v>
      </c>
      <c r="R14" s="162">
        <f t="shared" si="9"/>
        <v>0</v>
      </c>
      <c r="S14" s="162">
        <f t="shared" si="10"/>
        <v>2401900</v>
      </c>
    </row>
    <row r="15" spans="1:19" ht="15">
      <c r="A15" s="157" t="s">
        <v>95</v>
      </c>
      <c r="B15" s="21" t="s">
        <v>96</v>
      </c>
      <c r="C15" s="158">
        <v>1495717</v>
      </c>
      <c r="D15" s="149">
        <v>15182</v>
      </c>
      <c r="E15" s="159">
        <f t="shared" si="1"/>
        <v>1510899</v>
      </c>
      <c r="F15" s="151">
        <v>1355058</v>
      </c>
      <c r="G15" s="222">
        <f t="shared" si="2"/>
        <v>0.89685544831256092</v>
      </c>
      <c r="H15" s="152">
        <f t="shared" si="3"/>
        <v>1341441.9405837187</v>
      </c>
      <c r="I15" s="152">
        <f t="shared" si="4"/>
        <v>154275.05941628129</v>
      </c>
      <c r="J15" s="154">
        <f t="shared" si="0"/>
        <v>155841</v>
      </c>
      <c r="K15" s="154">
        <v>0</v>
      </c>
      <c r="L15" s="154">
        <f t="shared" si="5"/>
        <v>155841</v>
      </c>
      <c r="M15" s="154">
        <f t="shared" si="6"/>
        <v>-15427.505941628129</v>
      </c>
      <c r="N15" s="154">
        <v>0</v>
      </c>
      <c r="O15" s="161">
        <f t="shared" si="7"/>
        <v>140413.49405837187</v>
      </c>
      <c r="P15" s="161">
        <v>214700</v>
      </c>
      <c r="Q15" s="218">
        <f t="shared" si="8"/>
        <v>-74286.505941628129</v>
      </c>
      <c r="R15" s="162">
        <v>0</v>
      </c>
      <c r="S15" s="162">
        <f t="shared" si="10"/>
        <v>214700</v>
      </c>
    </row>
    <row r="16" spans="1:19" ht="15">
      <c r="A16" s="157" t="s">
        <v>97</v>
      </c>
      <c r="B16" s="21" t="s">
        <v>98</v>
      </c>
      <c r="C16" s="158">
        <v>1538432</v>
      </c>
      <c r="D16" s="149">
        <v>0</v>
      </c>
      <c r="E16" s="159">
        <f t="shared" si="1"/>
        <v>1538432</v>
      </c>
      <c r="F16" s="151">
        <v>92950</v>
      </c>
      <c r="G16" s="222">
        <f t="shared" si="2"/>
        <v>6.0418660038272738E-2</v>
      </c>
      <c r="H16" s="152">
        <f t="shared" si="3"/>
        <v>92950</v>
      </c>
      <c r="I16" s="152">
        <f t="shared" si="4"/>
        <v>1445482</v>
      </c>
      <c r="J16" s="154">
        <f t="shared" si="0"/>
        <v>1445482</v>
      </c>
      <c r="K16" s="154">
        <f>-J16</f>
        <v>-1445482</v>
      </c>
      <c r="L16" s="154">
        <f t="shared" si="5"/>
        <v>0</v>
      </c>
      <c r="M16" s="154">
        <v>0</v>
      </c>
      <c r="N16" s="154">
        <v>0</v>
      </c>
      <c r="O16" s="161">
        <f t="shared" si="7"/>
        <v>0</v>
      </c>
      <c r="P16" s="161">
        <v>0</v>
      </c>
      <c r="Q16" s="218">
        <f t="shared" si="8"/>
        <v>0</v>
      </c>
      <c r="R16" s="162">
        <f t="shared" si="9"/>
        <v>0</v>
      </c>
      <c r="S16" s="162">
        <f t="shared" si="10"/>
        <v>0</v>
      </c>
    </row>
    <row r="17" spans="1:19" ht="15">
      <c r="A17" s="157" t="s">
        <v>42</v>
      </c>
      <c r="B17" s="21" t="s">
        <v>99</v>
      </c>
      <c r="C17" s="158">
        <v>43209097</v>
      </c>
      <c r="D17" s="149">
        <v>2238163</v>
      </c>
      <c r="E17" s="159">
        <f t="shared" si="1"/>
        <v>45447260</v>
      </c>
      <c r="F17" s="151">
        <v>43846778</v>
      </c>
      <c r="G17" s="222">
        <f t="shared" si="2"/>
        <v>0.96478375153969675</v>
      </c>
      <c r="H17" s="152">
        <f t="shared" si="3"/>
        <v>41687434.704302654</v>
      </c>
      <c r="I17" s="152">
        <f t="shared" si="4"/>
        <v>1521662.2956973463</v>
      </c>
      <c r="J17" s="154">
        <f t="shared" si="0"/>
        <v>1600482</v>
      </c>
      <c r="K17" s="154">
        <v>0</v>
      </c>
      <c r="L17" s="154">
        <f t="shared" si="5"/>
        <v>1600482</v>
      </c>
      <c r="M17" s="154">
        <f t="shared" si="6"/>
        <v>-152166.22956973463</v>
      </c>
      <c r="N17" s="154">
        <v>-11501</v>
      </c>
      <c r="O17" s="161">
        <f t="shared" si="7"/>
        <v>1436814.7704302655</v>
      </c>
      <c r="P17" s="161">
        <v>1466000</v>
      </c>
      <c r="Q17" s="218">
        <f t="shared" si="8"/>
        <v>-29185.22956973454</v>
      </c>
      <c r="R17" s="162">
        <v>0</v>
      </c>
      <c r="S17" s="162">
        <f t="shared" si="10"/>
        <v>1466000</v>
      </c>
    </row>
    <row r="18" spans="1:19" ht="15">
      <c r="A18" s="157" t="s">
        <v>100</v>
      </c>
      <c r="B18" s="21" t="s">
        <v>101</v>
      </c>
      <c r="C18" s="158">
        <v>0</v>
      </c>
      <c r="D18" s="149">
        <v>0</v>
      </c>
      <c r="E18" s="159">
        <f t="shared" si="1"/>
        <v>0</v>
      </c>
      <c r="F18" s="151">
        <v>0</v>
      </c>
      <c r="G18" s="222">
        <v>0</v>
      </c>
      <c r="H18" s="152">
        <f t="shared" si="3"/>
        <v>0</v>
      </c>
      <c r="I18" s="152">
        <f t="shared" si="4"/>
        <v>0</v>
      </c>
      <c r="J18" s="154">
        <f t="shared" si="0"/>
        <v>0</v>
      </c>
      <c r="K18" s="154">
        <v>0</v>
      </c>
      <c r="L18" s="154">
        <f t="shared" si="5"/>
        <v>0</v>
      </c>
      <c r="M18" s="154">
        <f t="shared" si="6"/>
        <v>0</v>
      </c>
      <c r="N18" s="154">
        <v>0</v>
      </c>
      <c r="O18" s="161">
        <f t="shared" si="7"/>
        <v>0</v>
      </c>
      <c r="P18" s="161">
        <v>0</v>
      </c>
      <c r="Q18" s="218">
        <f t="shared" si="8"/>
        <v>0</v>
      </c>
      <c r="R18" s="162">
        <f t="shared" si="9"/>
        <v>0</v>
      </c>
      <c r="S18" s="162">
        <f t="shared" si="10"/>
        <v>0</v>
      </c>
    </row>
    <row r="19" spans="1:19" ht="15">
      <c r="A19" s="157" t="s">
        <v>43</v>
      </c>
      <c r="B19" s="21" t="s">
        <v>102</v>
      </c>
      <c r="C19" s="158">
        <v>3417027</v>
      </c>
      <c r="D19" s="149">
        <v>0</v>
      </c>
      <c r="E19" s="159">
        <f t="shared" si="1"/>
        <v>3417027</v>
      </c>
      <c r="F19" s="151">
        <v>2815433</v>
      </c>
      <c r="G19" s="222">
        <f t="shared" si="2"/>
        <v>0.82394227496592798</v>
      </c>
      <c r="H19" s="152">
        <f t="shared" si="3"/>
        <v>2815433</v>
      </c>
      <c r="I19" s="152">
        <f t="shared" si="4"/>
        <v>601594</v>
      </c>
      <c r="J19" s="154">
        <f t="shared" si="0"/>
        <v>601594</v>
      </c>
      <c r="K19" s="154">
        <v>0</v>
      </c>
      <c r="L19" s="154">
        <f t="shared" si="5"/>
        <v>601594</v>
      </c>
      <c r="M19" s="154">
        <f t="shared" si="6"/>
        <v>-60159.4</v>
      </c>
      <c r="N19" s="154">
        <v>-6699</v>
      </c>
      <c r="O19" s="161">
        <f t="shared" si="7"/>
        <v>534735.6</v>
      </c>
      <c r="P19" s="161">
        <v>430900</v>
      </c>
      <c r="Q19" s="218">
        <f t="shared" si="8"/>
        <v>103835.59999999998</v>
      </c>
      <c r="R19" s="162">
        <f t="shared" si="9"/>
        <v>0</v>
      </c>
      <c r="S19" s="162">
        <f t="shared" si="10"/>
        <v>430900</v>
      </c>
    </row>
    <row r="20" spans="1:19" ht="15">
      <c r="A20" s="157" t="s">
        <v>103</v>
      </c>
      <c r="B20" s="21" t="s">
        <v>104</v>
      </c>
      <c r="C20" s="158">
        <v>1045472</v>
      </c>
      <c r="D20" s="149">
        <v>0</v>
      </c>
      <c r="E20" s="159">
        <f t="shared" si="1"/>
        <v>1045472</v>
      </c>
      <c r="F20" s="151">
        <v>1009685</v>
      </c>
      <c r="G20" s="222">
        <f t="shared" si="2"/>
        <v>0.96576952802179306</v>
      </c>
      <c r="H20" s="152">
        <f t="shared" si="3"/>
        <v>1009685</v>
      </c>
      <c r="I20" s="152">
        <f t="shared" si="4"/>
        <v>35787</v>
      </c>
      <c r="J20" s="154">
        <f t="shared" si="0"/>
        <v>35787</v>
      </c>
      <c r="K20" s="154">
        <v>0</v>
      </c>
      <c r="L20" s="154">
        <f t="shared" si="5"/>
        <v>35787</v>
      </c>
      <c r="M20" s="154">
        <f t="shared" si="6"/>
        <v>-3578.7000000000003</v>
      </c>
      <c r="N20" s="154">
        <v>0</v>
      </c>
      <c r="O20" s="161">
        <f t="shared" si="7"/>
        <v>32208.3</v>
      </c>
      <c r="P20" s="161">
        <v>26100</v>
      </c>
      <c r="Q20" s="218">
        <f t="shared" si="8"/>
        <v>6108.2999999999993</v>
      </c>
      <c r="R20" s="162">
        <f t="shared" si="9"/>
        <v>0</v>
      </c>
      <c r="S20" s="162">
        <f t="shared" si="10"/>
        <v>26100</v>
      </c>
    </row>
    <row r="21" spans="1:19" ht="15">
      <c r="A21" s="157" t="s">
        <v>105</v>
      </c>
      <c r="B21" s="21" t="s">
        <v>106</v>
      </c>
      <c r="C21" s="158">
        <v>0</v>
      </c>
      <c r="D21" s="149">
        <v>0</v>
      </c>
      <c r="E21" s="159">
        <f t="shared" si="1"/>
        <v>0</v>
      </c>
      <c r="F21" s="151">
        <v>0</v>
      </c>
      <c r="G21" s="222">
        <v>0</v>
      </c>
      <c r="H21" s="152">
        <f t="shared" si="3"/>
        <v>0</v>
      </c>
      <c r="I21" s="152">
        <f t="shared" si="4"/>
        <v>0</v>
      </c>
      <c r="J21" s="154">
        <f t="shared" si="0"/>
        <v>0</v>
      </c>
      <c r="K21" s="154">
        <v>0</v>
      </c>
      <c r="L21" s="154">
        <f t="shared" si="5"/>
        <v>0</v>
      </c>
      <c r="M21" s="154">
        <f t="shared" si="6"/>
        <v>0</v>
      </c>
      <c r="N21" s="154">
        <v>0</v>
      </c>
      <c r="O21" s="161">
        <f t="shared" si="7"/>
        <v>0</v>
      </c>
      <c r="P21" s="161">
        <v>0</v>
      </c>
      <c r="Q21" s="218">
        <f t="shared" si="8"/>
        <v>0</v>
      </c>
      <c r="R21" s="162">
        <f t="shared" si="9"/>
        <v>0</v>
      </c>
      <c r="S21" s="162">
        <f t="shared" si="10"/>
        <v>0</v>
      </c>
    </row>
    <row r="22" spans="1:19" ht="15">
      <c r="A22" s="157" t="s">
        <v>107</v>
      </c>
      <c r="B22" s="21" t="s">
        <v>108</v>
      </c>
      <c r="C22" s="158">
        <v>199328</v>
      </c>
      <c r="D22" s="149">
        <v>0</v>
      </c>
      <c r="E22" s="159">
        <f t="shared" si="1"/>
        <v>199328</v>
      </c>
      <c r="F22" s="151">
        <v>171640</v>
      </c>
      <c r="G22" s="222">
        <f t="shared" si="2"/>
        <v>0.86109327339861941</v>
      </c>
      <c r="H22" s="152">
        <f t="shared" si="3"/>
        <v>171640</v>
      </c>
      <c r="I22" s="152">
        <f t="shared" si="4"/>
        <v>27688</v>
      </c>
      <c r="J22" s="154">
        <f t="shared" si="0"/>
        <v>27688</v>
      </c>
      <c r="K22" s="154">
        <v>0</v>
      </c>
      <c r="L22" s="154">
        <f t="shared" si="5"/>
        <v>27688</v>
      </c>
      <c r="M22" s="154">
        <f t="shared" si="6"/>
        <v>-2768.8</v>
      </c>
      <c r="N22" s="154">
        <v>0</v>
      </c>
      <c r="O22" s="161">
        <f t="shared" si="7"/>
        <v>24919.200000000001</v>
      </c>
      <c r="P22" s="161">
        <v>50900</v>
      </c>
      <c r="Q22" s="218">
        <f t="shared" si="8"/>
        <v>-25980.799999999999</v>
      </c>
      <c r="R22" s="162">
        <v>0</v>
      </c>
      <c r="S22" s="162">
        <f t="shared" si="10"/>
        <v>50900</v>
      </c>
    </row>
    <row r="23" spans="1:19" ht="15">
      <c r="A23" s="157" t="s">
        <v>44</v>
      </c>
      <c r="B23" s="21" t="s">
        <v>109</v>
      </c>
      <c r="C23" s="158">
        <v>1898851</v>
      </c>
      <c r="D23" s="149">
        <v>767352</v>
      </c>
      <c r="E23" s="159">
        <f t="shared" si="1"/>
        <v>2666203</v>
      </c>
      <c r="F23" s="151">
        <v>920113</v>
      </c>
      <c r="G23" s="222">
        <f t="shared" si="2"/>
        <v>0.34510237967626622</v>
      </c>
      <c r="H23" s="152">
        <f t="shared" si="3"/>
        <v>655297.99875065777</v>
      </c>
      <c r="I23" s="152">
        <f t="shared" si="4"/>
        <v>1243553.0012493422</v>
      </c>
      <c r="J23" s="154">
        <f t="shared" si="0"/>
        <v>1746090</v>
      </c>
      <c r="K23" s="154">
        <v>0</v>
      </c>
      <c r="L23" s="154">
        <f t="shared" si="5"/>
        <v>1746090</v>
      </c>
      <c r="M23" s="154">
        <f t="shared" si="6"/>
        <v>-124355.30012493423</v>
      </c>
      <c r="N23" s="154">
        <v>-30812</v>
      </c>
      <c r="O23" s="161">
        <f t="shared" si="7"/>
        <v>1590922.6998750658</v>
      </c>
      <c r="P23" s="161">
        <v>1291900</v>
      </c>
      <c r="Q23" s="218">
        <f t="shared" si="8"/>
        <v>299022.69987506582</v>
      </c>
      <c r="R23" s="162">
        <f t="shared" si="9"/>
        <v>0</v>
      </c>
      <c r="S23" s="162">
        <f t="shared" si="10"/>
        <v>1291900</v>
      </c>
    </row>
    <row r="24" spans="1:19" ht="15">
      <c r="A24" s="157" t="s">
        <v>45</v>
      </c>
      <c r="B24" s="21" t="s">
        <v>110</v>
      </c>
      <c r="C24" s="158">
        <v>2413168</v>
      </c>
      <c r="D24" s="149">
        <v>185745</v>
      </c>
      <c r="E24" s="159">
        <f t="shared" si="1"/>
        <v>2598913</v>
      </c>
      <c r="F24" s="151">
        <v>749807</v>
      </c>
      <c r="G24" s="222">
        <f t="shared" si="2"/>
        <v>0.28850792619837601</v>
      </c>
      <c r="H24" s="152">
        <f t="shared" si="3"/>
        <v>696218.09524828265</v>
      </c>
      <c r="I24" s="152">
        <f t="shared" si="4"/>
        <v>1716949.9047517173</v>
      </c>
      <c r="J24" s="154">
        <f t="shared" si="0"/>
        <v>1849106</v>
      </c>
      <c r="K24" s="154">
        <v>0</v>
      </c>
      <c r="L24" s="154">
        <f t="shared" si="5"/>
        <v>1849106</v>
      </c>
      <c r="M24" s="154">
        <f t="shared" si="6"/>
        <v>-171694.99047517174</v>
      </c>
      <c r="N24" s="154">
        <v>-31441</v>
      </c>
      <c r="O24" s="161">
        <f t="shared" si="7"/>
        <v>1645970.0095248283</v>
      </c>
      <c r="P24" s="161">
        <v>1392700</v>
      </c>
      <c r="Q24" s="218">
        <f t="shared" si="8"/>
        <v>253270.00952482829</v>
      </c>
      <c r="R24" s="162">
        <f t="shared" si="9"/>
        <v>0</v>
      </c>
      <c r="S24" s="162">
        <f t="shared" si="10"/>
        <v>1392700</v>
      </c>
    </row>
    <row r="25" spans="1:19" ht="15">
      <c r="A25" s="163" t="s">
        <v>46</v>
      </c>
      <c r="B25" s="21" t="s">
        <v>111</v>
      </c>
      <c r="C25" s="158">
        <v>0</v>
      </c>
      <c r="D25" s="149">
        <v>0</v>
      </c>
      <c r="E25" s="159">
        <f t="shared" si="1"/>
        <v>0</v>
      </c>
      <c r="F25" s="151">
        <v>0</v>
      </c>
      <c r="G25" s="222">
        <v>0</v>
      </c>
      <c r="H25" s="152">
        <f t="shared" si="3"/>
        <v>0</v>
      </c>
      <c r="I25" s="152">
        <f t="shared" si="4"/>
        <v>0</v>
      </c>
      <c r="J25" s="154">
        <f t="shared" si="0"/>
        <v>0</v>
      </c>
      <c r="K25" s="154">
        <v>0</v>
      </c>
      <c r="L25" s="154">
        <f t="shared" si="5"/>
        <v>0</v>
      </c>
      <c r="M25" s="154">
        <f t="shared" si="6"/>
        <v>0</v>
      </c>
      <c r="N25" s="154">
        <v>0</v>
      </c>
      <c r="O25" s="161">
        <f t="shared" si="7"/>
        <v>0</v>
      </c>
      <c r="P25" s="161">
        <v>0</v>
      </c>
      <c r="Q25" s="218">
        <f t="shared" si="8"/>
        <v>0</v>
      </c>
      <c r="R25" s="162">
        <f t="shared" si="9"/>
        <v>0</v>
      </c>
      <c r="S25" s="162">
        <f t="shared" si="10"/>
        <v>0</v>
      </c>
    </row>
    <row r="26" spans="1:19" ht="15">
      <c r="A26" s="157" t="s">
        <v>47</v>
      </c>
      <c r="B26" s="21" t="s">
        <v>112</v>
      </c>
      <c r="C26" s="164">
        <v>3228029</v>
      </c>
      <c r="D26" s="149">
        <v>432692</v>
      </c>
      <c r="E26" s="159">
        <f t="shared" si="1"/>
        <v>3660721</v>
      </c>
      <c r="F26" s="151">
        <v>2095473</v>
      </c>
      <c r="G26" s="222">
        <f t="shared" si="2"/>
        <v>0.57242084277933225</v>
      </c>
      <c r="H26" s="152">
        <f t="shared" si="3"/>
        <v>1847791.080696125</v>
      </c>
      <c r="I26" s="152">
        <f t="shared" si="4"/>
        <v>1380237.919303875</v>
      </c>
      <c r="J26" s="154">
        <f t="shared" si="0"/>
        <v>1565248</v>
      </c>
      <c r="K26" s="154">
        <v>0</v>
      </c>
      <c r="L26" s="154">
        <f t="shared" si="5"/>
        <v>1565248</v>
      </c>
      <c r="M26" s="154">
        <f t="shared" si="6"/>
        <v>-138023.7919303875</v>
      </c>
      <c r="N26" s="154">
        <v>-2572</v>
      </c>
      <c r="O26" s="161">
        <f t="shared" si="7"/>
        <v>1424652.2080696125</v>
      </c>
      <c r="P26" s="161">
        <v>834900</v>
      </c>
      <c r="Q26" s="218">
        <f t="shared" si="8"/>
        <v>589752.2080696125</v>
      </c>
      <c r="R26" s="162">
        <f t="shared" si="9"/>
        <v>0</v>
      </c>
      <c r="S26" s="162">
        <f t="shared" si="10"/>
        <v>834900</v>
      </c>
    </row>
    <row r="27" spans="1:19" ht="15">
      <c r="A27" s="165"/>
      <c r="B27" s="166" t="s">
        <v>113</v>
      </c>
      <c r="C27" s="167">
        <f t="shared" ref="C27:L27" si="11">SUM(C10:C26)</f>
        <v>128795748.5</v>
      </c>
      <c r="D27" s="168">
        <f t="shared" si="11"/>
        <v>11985660.5</v>
      </c>
      <c r="E27" s="168">
        <f t="shared" si="11"/>
        <v>140781409</v>
      </c>
      <c r="F27" s="169">
        <f t="shared" si="11"/>
        <v>123335952</v>
      </c>
      <c r="G27" s="223">
        <f t="shared" si="2"/>
        <v>0.87608124450579972</v>
      </c>
      <c r="H27" s="170">
        <f>SUM(H10:H26)</f>
        <v>113019037.44580258</v>
      </c>
      <c r="I27" s="170">
        <f>SUM(I10:I26)</f>
        <v>15776711.054197405</v>
      </c>
      <c r="J27" s="171">
        <f t="shared" si="11"/>
        <v>17445457</v>
      </c>
      <c r="K27" s="171">
        <f t="shared" si="11"/>
        <v>-1445482</v>
      </c>
      <c r="L27" s="171">
        <f t="shared" si="11"/>
        <v>15999975</v>
      </c>
      <c r="M27" s="171">
        <f t="shared" ref="M27:S27" si="12">SUM(M10:M26)</f>
        <v>-1433122.9054197406</v>
      </c>
      <c r="N27" s="171">
        <f t="shared" si="12"/>
        <v>-226536</v>
      </c>
      <c r="O27" s="172">
        <f t="shared" si="12"/>
        <v>14340316.094580259</v>
      </c>
      <c r="P27" s="172">
        <f t="shared" si="12"/>
        <v>12436100</v>
      </c>
      <c r="Q27" s="219">
        <f t="shared" si="12"/>
        <v>1904216.0945802596</v>
      </c>
      <c r="R27" s="173">
        <f t="shared" si="12"/>
        <v>0</v>
      </c>
      <c r="S27" s="173">
        <f t="shared" si="12"/>
        <v>12436100</v>
      </c>
    </row>
    <row r="28" spans="1:19">
      <c r="C28" s="623"/>
      <c r="D28" s="628"/>
      <c r="E28" s="628"/>
      <c r="F28" s="623"/>
      <c r="G28" s="623"/>
      <c r="H28" s="174"/>
      <c r="I28" s="174"/>
      <c r="J28" s="174"/>
      <c r="K28" s="175"/>
      <c r="L28" s="176"/>
      <c r="M28" s="176"/>
      <c r="N28" s="176"/>
    </row>
    <row r="29" spans="1:19">
      <c r="C29" s="174"/>
      <c r="D29" s="174"/>
      <c r="E29" s="174"/>
      <c r="F29" s="212"/>
      <c r="G29" s="174"/>
      <c r="H29" s="174"/>
      <c r="I29" s="174"/>
      <c r="J29" s="174"/>
      <c r="K29" s="175"/>
      <c r="L29" s="176"/>
      <c r="M29" s="242">
        <f>M26/L26</f>
        <v>-8.8180142654957869E-2</v>
      </c>
      <c r="N29" s="176"/>
    </row>
    <row r="30" spans="1:19">
      <c r="C30" s="174"/>
      <c r="D30" s="174"/>
      <c r="E30" s="174"/>
      <c r="F30" s="174"/>
      <c r="G30" s="174"/>
      <c r="H30" s="174"/>
      <c r="I30" s="174"/>
      <c r="J30" s="174"/>
      <c r="K30" s="175"/>
      <c r="L30" s="176"/>
      <c r="M30" s="242">
        <f>M24/L24</f>
        <v>-9.2852973531626498E-2</v>
      </c>
      <c r="N30" s="176"/>
      <c r="Q30" s="176">
        <f>+Q26+Q24+Q23+Q20+Q19+Q14+Q13+Q11+Q10</f>
        <v>2231047.4300916223</v>
      </c>
      <c r="R30" s="176">
        <f>+R26+R24+R23+R20+R19+R14+R13+R11+R10</f>
        <v>0</v>
      </c>
      <c r="S30" s="176"/>
    </row>
    <row r="31" spans="1:19" ht="15">
      <c r="B31" s="177" t="s">
        <v>114</v>
      </c>
      <c r="C31" s="178" t="s">
        <v>115</v>
      </c>
      <c r="D31" s="174"/>
      <c r="E31" s="174"/>
      <c r="F31" s="174"/>
      <c r="G31" s="174"/>
      <c r="H31" s="174"/>
      <c r="I31" s="174"/>
      <c r="J31" s="174"/>
      <c r="K31" s="175"/>
      <c r="L31" s="176"/>
      <c r="M31" s="242">
        <f>M23/L23</f>
        <v>-7.1219295755049414E-2</v>
      </c>
      <c r="N31" s="176"/>
      <c r="Q31" s="176">
        <f>+Q22+Q17+Q15+Q12</f>
        <v>-326831.3355113627</v>
      </c>
      <c r="R31" s="176">
        <f>+R22+R17+R15+R12</f>
        <v>0</v>
      </c>
      <c r="S31" s="176"/>
    </row>
    <row r="32" spans="1:19" ht="13.5" thickBot="1">
      <c r="B32" s="179" t="s">
        <v>116</v>
      </c>
      <c r="C32" s="180"/>
      <c r="D32" s="174"/>
      <c r="E32" s="174"/>
      <c r="F32" s="174"/>
      <c r="G32" s="174"/>
      <c r="H32" s="174"/>
      <c r="I32" s="174"/>
      <c r="J32" s="174"/>
      <c r="K32" s="175"/>
      <c r="L32" s="176"/>
      <c r="M32" s="176"/>
      <c r="N32" s="176"/>
      <c r="Q32" s="181">
        <f>+Q30+Q31</f>
        <v>1904216.0945802596</v>
      </c>
      <c r="R32" s="181">
        <f>+R30+R31</f>
        <v>0</v>
      </c>
      <c r="S32" s="190"/>
    </row>
    <row r="33" spans="1:14" ht="13.5" thickTop="1">
      <c r="B33" s="179" t="s">
        <v>117</v>
      </c>
      <c r="C33" s="182">
        <v>5479388</v>
      </c>
      <c r="D33" s="174"/>
      <c r="E33" s="174"/>
      <c r="F33" s="174"/>
      <c r="G33" s="174"/>
      <c r="H33" s="174"/>
      <c r="I33" s="174"/>
      <c r="J33" s="174"/>
      <c r="K33" s="175"/>
      <c r="L33" s="176"/>
      <c r="M33" s="176"/>
      <c r="N33" s="176"/>
    </row>
    <row r="34" spans="1:14">
      <c r="B34" s="179" t="s">
        <v>118</v>
      </c>
      <c r="C34" s="182">
        <v>3624916</v>
      </c>
      <c r="D34" s="174"/>
      <c r="E34" s="176"/>
    </row>
    <row r="35" spans="1:14" ht="13.5" thickBot="1">
      <c r="B35" s="179" t="s">
        <v>119</v>
      </c>
      <c r="C35" s="183">
        <f>SUM(C33:C34)</f>
        <v>9104304</v>
      </c>
      <c r="D35" s="184"/>
    </row>
    <row r="36" spans="1:14" s="117" customFormat="1" ht="13.5" thickTop="1">
      <c r="B36" s="185"/>
      <c r="C36" s="186"/>
      <c r="D36" s="187"/>
      <c r="E36" s="187"/>
      <c r="F36" s="187"/>
      <c r="G36" s="187"/>
      <c r="H36" s="188"/>
      <c r="I36" s="174"/>
      <c r="J36" s="174"/>
      <c r="K36" s="189"/>
      <c r="L36" s="190"/>
      <c r="M36" s="190"/>
      <c r="N36" s="190"/>
    </row>
    <row r="37" spans="1:14" s="117" customFormat="1">
      <c r="B37" s="188"/>
      <c r="C37" s="191"/>
      <c r="D37" s="188"/>
      <c r="E37" s="188"/>
      <c r="F37" s="188"/>
      <c r="G37" s="188"/>
      <c r="H37" s="188"/>
      <c r="I37" s="174"/>
      <c r="J37" s="174"/>
      <c r="K37" s="189"/>
      <c r="L37" s="190"/>
      <c r="M37" s="190"/>
      <c r="N37" s="190"/>
    </row>
    <row r="38" spans="1:14" s="117" customFormat="1">
      <c r="B38" s="188"/>
      <c r="C38" s="192" t="s">
        <v>73</v>
      </c>
      <c r="D38" s="192" t="s">
        <v>120</v>
      </c>
      <c r="E38" s="192" t="s">
        <v>121</v>
      </c>
      <c r="F38" s="192" t="s">
        <v>79</v>
      </c>
      <c r="G38" s="188"/>
      <c r="H38" s="188"/>
      <c r="I38" s="188"/>
      <c r="J38" s="188"/>
      <c r="K38" s="188"/>
      <c r="L38" s="188"/>
      <c r="M38" s="188"/>
      <c r="N38" s="188"/>
    </row>
    <row r="39" spans="1:14" s="117" customFormat="1">
      <c r="B39" s="191" t="s">
        <v>122</v>
      </c>
      <c r="C39" s="182">
        <v>3327132</v>
      </c>
      <c r="D39" s="182">
        <v>2220430</v>
      </c>
      <c r="E39" s="182">
        <v>68174</v>
      </c>
      <c r="F39" s="182">
        <f>C39+D39-E39</f>
        <v>5479388</v>
      </c>
      <c r="G39" s="188"/>
      <c r="H39" s="188"/>
      <c r="I39" s="188"/>
      <c r="J39" s="188"/>
      <c r="K39" s="188"/>
      <c r="L39" s="188"/>
      <c r="M39" s="188"/>
      <c r="N39" s="188"/>
    </row>
    <row r="40" spans="1:14" s="117" customFormat="1">
      <c r="B40" s="191" t="s">
        <v>123</v>
      </c>
      <c r="C40" s="182">
        <v>2266200</v>
      </c>
      <c r="D40" s="182">
        <v>2507318</v>
      </c>
      <c r="E40" s="182">
        <v>1148601</v>
      </c>
      <c r="F40" s="182">
        <f>C40+D40-E40</f>
        <v>3624917</v>
      </c>
      <c r="G40" s="188"/>
      <c r="H40" s="188"/>
      <c r="I40" s="188"/>
      <c r="J40" s="188"/>
      <c r="K40" s="188"/>
      <c r="L40" s="188"/>
      <c r="M40" s="188"/>
      <c r="N40" s="188"/>
    </row>
    <row r="41" spans="1:14" s="117" customFormat="1" ht="13.5" thickBot="1">
      <c r="C41" s="193">
        <v>5593331.5</v>
      </c>
      <c r="D41" s="193">
        <v>4727747.5</v>
      </c>
      <c r="E41" s="193">
        <v>1216775</v>
      </c>
      <c r="F41" s="193">
        <f>F40+F39</f>
        <v>9104305</v>
      </c>
      <c r="G41" s="188"/>
      <c r="H41" s="188"/>
      <c r="I41" s="188"/>
      <c r="J41" s="188"/>
      <c r="K41" s="188"/>
      <c r="L41" s="188"/>
      <c r="M41" s="188"/>
      <c r="N41" s="188"/>
    </row>
    <row r="42" spans="1:14" s="117" customFormat="1" ht="13.5" thickTop="1">
      <c r="B42" s="188"/>
      <c r="C42" s="194"/>
      <c r="D42" s="188"/>
      <c r="E42" s="188"/>
      <c r="F42" s="188"/>
      <c r="G42" s="188"/>
      <c r="H42" s="188"/>
    </row>
    <row r="43" spans="1:14" s="117" customFormat="1">
      <c r="A43" s="188"/>
      <c r="B43" s="188"/>
      <c r="C43" s="188"/>
      <c r="D43" s="188"/>
      <c r="E43" s="188"/>
      <c r="F43" s="188"/>
      <c r="G43" s="188"/>
      <c r="H43" s="188"/>
    </row>
    <row r="44" spans="1:14" s="117" customFormat="1">
      <c r="A44" s="188"/>
      <c r="B44" s="188"/>
      <c r="C44" s="188"/>
      <c r="D44" s="188"/>
      <c r="E44" s="188"/>
      <c r="F44" s="188"/>
      <c r="G44" s="188"/>
      <c r="H44" s="188"/>
    </row>
    <row r="45" spans="1:14" s="117" customFormat="1">
      <c r="A45" s="188"/>
      <c r="B45" s="188" t="s">
        <v>124</v>
      </c>
      <c r="C45" s="194"/>
      <c r="D45" s="188"/>
      <c r="E45" s="188"/>
      <c r="F45" s="188"/>
      <c r="G45" s="188"/>
      <c r="H45" s="188"/>
    </row>
    <row r="46" spans="1:14" s="117" customFormat="1">
      <c r="A46" s="194"/>
      <c r="B46" s="188"/>
      <c r="C46" s="188"/>
      <c r="D46" s="188"/>
      <c r="E46" s="188"/>
      <c r="F46" s="188"/>
      <c r="G46" s="188"/>
      <c r="H46" s="188"/>
    </row>
    <row r="47" spans="1:14" s="117" customFormat="1">
      <c r="A47" s="194"/>
      <c r="B47" s="194"/>
      <c r="C47" s="188"/>
      <c r="D47" s="188"/>
      <c r="E47" s="188"/>
      <c r="F47" s="188"/>
    </row>
    <row r="48" spans="1:14" s="117" customFormat="1">
      <c r="A48" s="194"/>
      <c r="B48" s="194"/>
      <c r="C48" s="188"/>
      <c r="D48" s="188"/>
      <c r="E48" s="188"/>
      <c r="F48" s="188"/>
    </row>
    <row r="49" spans="1:14" s="117" customFormat="1">
      <c r="A49" s="194"/>
      <c r="B49" s="194"/>
      <c r="C49" s="188"/>
      <c r="D49" s="188"/>
      <c r="E49" s="188"/>
      <c r="F49" s="188"/>
    </row>
    <row r="50" spans="1:14" s="117" customFormat="1">
      <c r="A50" s="194"/>
      <c r="B50" s="194"/>
      <c r="C50" s="188"/>
      <c r="D50" s="188"/>
      <c r="E50" s="188"/>
      <c r="F50" s="188"/>
    </row>
    <row r="51" spans="1:14" s="117" customFormat="1">
      <c r="A51" s="194"/>
      <c r="B51" s="194"/>
      <c r="C51" s="188"/>
      <c r="D51" s="188"/>
      <c r="E51" s="188"/>
      <c r="F51" s="188"/>
    </row>
    <row r="52" spans="1:14" s="117" customFormat="1">
      <c r="A52" s="194"/>
      <c r="B52" s="194"/>
      <c r="C52" s="188"/>
      <c r="D52" s="188"/>
      <c r="E52" s="188"/>
      <c r="F52" s="188"/>
    </row>
    <row r="53" spans="1:14" s="117" customFormat="1">
      <c r="C53" s="174"/>
      <c r="D53" s="174"/>
      <c r="E53" s="174"/>
      <c r="F53" s="174"/>
      <c r="G53" s="174"/>
      <c r="H53" s="174"/>
      <c r="I53" s="174"/>
      <c r="J53" s="174"/>
      <c r="K53" s="189"/>
      <c r="L53" s="190"/>
      <c r="M53" s="190"/>
      <c r="N53" s="190"/>
    </row>
    <row r="54" spans="1:14" s="117" customFormat="1">
      <c r="A54" s="191"/>
      <c r="B54" s="191"/>
      <c r="C54" s="191"/>
      <c r="D54" s="191"/>
      <c r="E54" s="191"/>
      <c r="F54" s="188"/>
      <c r="G54" s="188"/>
      <c r="H54" s="188"/>
      <c r="I54" s="188"/>
      <c r="J54" s="188"/>
      <c r="K54" s="188"/>
      <c r="L54" s="188"/>
      <c r="M54" s="188"/>
      <c r="N54" s="188"/>
    </row>
    <row r="55" spans="1:14" s="117" customFormat="1">
      <c r="A55" s="191"/>
      <c r="B55" s="191"/>
      <c r="C55" s="191"/>
      <c r="D55" s="191"/>
      <c r="E55" s="191"/>
      <c r="F55" s="188"/>
      <c r="G55" s="188"/>
      <c r="H55" s="188"/>
      <c r="I55" s="188"/>
      <c r="J55" s="188"/>
      <c r="K55" s="188"/>
      <c r="L55" s="188"/>
      <c r="M55" s="188"/>
      <c r="N55" s="188"/>
    </row>
    <row r="56" spans="1:14" s="117" customFormat="1">
      <c r="A56" s="191"/>
      <c r="B56" s="191"/>
      <c r="C56" s="191"/>
      <c r="D56" s="191"/>
      <c r="E56" s="191"/>
      <c r="F56" s="188"/>
      <c r="G56" s="188"/>
      <c r="H56" s="188"/>
      <c r="I56" s="188"/>
      <c r="J56" s="188"/>
      <c r="K56" s="188"/>
      <c r="L56" s="188"/>
      <c r="M56" s="188"/>
      <c r="N56" s="188"/>
    </row>
    <row r="57" spans="1:14" s="117" customFormat="1">
      <c r="A57" s="188"/>
      <c r="B57" s="188"/>
      <c r="C57" s="188"/>
      <c r="D57" s="188"/>
      <c r="E57" s="188"/>
      <c r="F57" s="188"/>
      <c r="G57" s="188"/>
      <c r="H57" s="188"/>
      <c r="I57" s="188"/>
      <c r="J57" s="188"/>
      <c r="K57" s="188"/>
      <c r="L57" s="188"/>
      <c r="M57" s="188"/>
      <c r="N57" s="188"/>
    </row>
    <row r="58" spans="1:14" s="117" customFormat="1">
      <c r="A58" s="194"/>
      <c r="B58" s="188"/>
      <c r="C58" s="187"/>
      <c r="D58" s="187"/>
      <c r="E58" s="187"/>
      <c r="F58" s="187"/>
    </row>
    <row r="59" spans="1:14" s="117" customFormat="1">
      <c r="A59" s="188"/>
      <c r="B59" s="188"/>
      <c r="C59" s="188"/>
      <c r="D59" s="188"/>
      <c r="E59" s="188"/>
      <c r="F59" s="188"/>
    </row>
    <row r="60" spans="1:14" s="117" customFormat="1">
      <c r="A60" s="188"/>
      <c r="B60" s="188"/>
      <c r="C60" s="188"/>
      <c r="D60" s="188"/>
      <c r="E60" s="188"/>
      <c r="F60" s="188"/>
    </row>
    <row r="61" spans="1:14" s="117" customFormat="1">
      <c r="A61" s="188"/>
      <c r="B61" s="188"/>
      <c r="C61" s="188"/>
      <c r="D61" s="188"/>
      <c r="E61" s="188"/>
      <c r="F61" s="188"/>
    </row>
    <row r="62" spans="1:14" s="117" customFormat="1">
      <c r="A62" s="194"/>
      <c r="B62" s="194"/>
      <c r="C62" s="188"/>
      <c r="D62" s="188"/>
      <c r="E62" s="188"/>
      <c r="F62" s="188"/>
    </row>
    <row r="63" spans="1:14" s="117" customFormat="1">
      <c r="A63" s="194"/>
      <c r="B63" s="194"/>
      <c r="C63" s="188"/>
      <c r="D63" s="188"/>
      <c r="E63" s="188"/>
      <c r="F63" s="188"/>
    </row>
    <row r="64" spans="1:14" s="117" customFormat="1">
      <c r="A64" s="194"/>
      <c r="B64" s="194"/>
      <c r="C64" s="188"/>
      <c r="D64" s="188"/>
      <c r="E64" s="188"/>
      <c r="F64" s="188"/>
    </row>
    <row r="65" spans="1:14" s="117" customFormat="1">
      <c r="A65" s="194"/>
      <c r="B65" s="194"/>
      <c r="C65" s="188"/>
      <c r="D65" s="188"/>
      <c r="E65" s="188"/>
      <c r="F65" s="188"/>
    </row>
    <row r="66" spans="1:14" s="117" customFormat="1">
      <c r="A66" s="194"/>
      <c r="B66" s="194"/>
      <c r="C66" s="188"/>
      <c r="D66" s="188"/>
      <c r="E66" s="188"/>
      <c r="F66" s="188"/>
    </row>
    <row r="67" spans="1:14" s="117" customFormat="1">
      <c r="A67" s="194"/>
      <c r="B67" s="194"/>
      <c r="C67" s="188"/>
      <c r="D67" s="188"/>
      <c r="E67" s="188"/>
      <c r="F67" s="188"/>
    </row>
    <row r="68" spans="1:14" s="117" customFormat="1">
      <c r="A68" s="194"/>
      <c r="B68" s="194"/>
      <c r="C68" s="188"/>
      <c r="D68" s="188"/>
      <c r="E68" s="188"/>
      <c r="F68" s="188"/>
    </row>
    <row r="69" spans="1:14" s="117" customFormat="1">
      <c r="C69" s="174"/>
      <c r="D69" s="174"/>
      <c r="E69" s="174"/>
      <c r="F69" s="174"/>
      <c r="G69" s="174"/>
      <c r="H69" s="174"/>
      <c r="I69" s="174"/>
      <c r="J69" s="174"/>
      <c r="K69" s="189"/>
      <c r="L69" s="190"/>
      <c r="M69" s="190"/>
      <c r="N69" s="190"/>
    </row>
    <row r="70" spans="1:14" s="117" customFormat="1">
      <c r="C70" s="174"/>
      <c r="D70" s="174"/>
      <c r="E70" s="174"/>
      <c r="F70" s="174"/>
      <c r="G70" s="174"/>
      <c r="H70" s="174"/>
      <c r="I70" s="174"/>
      <c r="J70" s="174"/>
      <c r="K70" s="189"/>
      <c r="L70" s="190"/>
      <c r="M70" s="190"/>
      <c r="N70" s="190"/>
    </row>
    <row r="71" spans="1:14" s="117" customFormat="1">
      <c r="A71" s="191"/>
      <c r="B71" s="191"/>
      <c r="C71" s="191"/>
      <c r="D71" s="191"/>
      <c r="E71" s="191"/>
      <c r="F71" s="188"/>
      <c r="G71" s="188"/>
      <c r="H71" s="188"/>
      <c r="I71" s="188"/>
      <c r="J71" s="188"/>
      <c r="K71" s="188"/>
      <c r="L71" s="188"/>
      <c r="M71" s="188"/>
      <c r="N71" s="188"/>
    </row>
    <row r="72" spans="1:14" s="117" customFormat="1">
      <c r="A72" s="191"/>
      <c r="B72" s="191"/>
      <c r="C72" s="191"/>
      <c r="D72" s="191"/>
      <c r="E72" s="191"/>
      <c r="F72" s="188"/>
      <c r="G72" s="188"/>
      <c r="H72" s="188"/>
      <c r="I72" s="188"/>
      <c r="J72" s="188"/>
      <c r="K72" s="188"/>
      <c r="L72" s="188"/>
      <c r="M72" s="188"/>
      <c r="N72" s="188"/>
    </row>
    <row r="73" spans="1:14" s="117" customFormat="1">
      <c r="A73" s="191"/>
      <c r="B73" s="191"/>
      <c r="C73" s="191"/>
      <c r="D73" s="191"/>
      <c r="E73" s="191"/>
      <c r="F73" s="188"/>
      <c r="G73" s="188"/>
      <c r="H73" s="188"/>
      <c r="I73" s="188"/>
      <c r="J73" s="188"/>
      <c r="K73" s="188"/>
      <c r="L73" s="188"/>
      <c r="M73" s="188"/>
      <c r="N73" s="188"/>
    </row>
    <row r="74" spans="1:14" s="117" customFormat="1">
      <c r="A74" s="188"/>
      <c r="B74" s="188"/>
      <c r="C74" s="188"/>
      <c r="D74" s="188"/>
      <c r="E74" s="188"/>
      <c r="F74" s="188"/>
      <c r="G74" s="188"/>
      <c r="H74" s="188"/>
      <c r="I74" s="188"/>
      <c r="J74" s="188"/>
      <c r="K74" s="188"/>
      <c r="L74" s="188"/>
      <c r="M74" s="188"/>
      <c r="N74" s="188"/>
    </row>
    <row r="75" spans="1:14" s="117" customFormat="1">
      <c r="A75" s="194"/>
      <c r="B75" s="188"/>
      <c r="C75" s="187"/>
      <c r="D75" s="187"/>
      <c r="E75" s="187"/>
      <c r="F75" s="187"/>
    </row>
    <row r="76" spans="1:14" s="117" customFormat="1">
      <c r="A76" s="188"/>
      <c r="B76" s="188"/>
      <c r="C76" s="188"/>
      <c r="D76" s="188"/>
      <c r="E76" s="188"/>
      <c r="F76" s="188"/>
    </row>
    <row r="77" spans="1:14" s="117" customFormat="1">
      <c r="A77" s="188"/>
      <c r="B77" s="188"/>
      <c r="C77" s="188"/>
      <c r="D77" s="188"/>
      <c r="E77" s="188"/>
      <c r="F77" s="188"/>
    </row>
    <row r="78" spans="1:14" s="117" customFormat="1">
      <c r="A78" s="188"/>
      <c r="B78" s="188"/>
      <c r="C78" s="188"/>
      <c r="D78" s="188"/>
      <c r="E78" s="188"/>
      <c r="F78" s="188"/>
    </row>
    <row r="79" spans="1:14" s="117" customFormat="1">
      <c r="A79" s="194"/>
      <c r="B79" s="194"/>
      <c r="C79" s="188"/>
      <c r="D79" s="188"/>
      <c r="E79" s="188"/>
      <c r="F79" s="188"/>
    </row>
    <row r="80" spans="1:14" s="117" customFormat="1">
      <c r="A80" s="194"/>
      <c r="B80" s="194"/>
      <c r="C80" s="188"/>
      <c r="D80" s="188"/>
      <c r="E80" s="188"/>
      <c r="F80" s="188"/>
      <c r="G80" s="185"/>
      <c r="H80" s="185"/>
      <c r="I80" s="185"/>
      <c r="J80" s="185"/>
    </row>
    <row r="81" spans="1:14" s="117" customFormat="1">
      <c r="A81" s="194"/>
      <c r="B81" s="194"/>
      <c r="C81" s="188"/>
      <c r="D81" s="188"/>
      <c r="E81" s="188"/>
      <c r="F81" s="188"/>
      <c r="G81" s="185"/>
      <c r="H81" s="185"/>
      <c r="I81" s="185"/>
      <c r="J81" s="185"/>
    </row>
    <row r="82" spans="1:14" s="117" customFormat="1">
      <c r="A82" s="194"/>
      <c r="B82" s="194"/>
      <c r="C82" s="188"/>
      <c r="D82" s="188"/>
      <c r="E82" s="188"/>
      <c r="F82" s="188"/>
      <c r="G82" s="185"/>
      <c r="H82" s="185"/>
      <c r="I82" s="185"/>
      <c r="J82" s="185"/>
    </row>
    <row r="83" spans="1:14" s="117" customFormat="1">
      <c r="A83" s="194"/>
      <c r="B83" s="194"/>
      <c r="C83" s="188"/>
      <c r="D83" s="188"/>
      <c r="E83" s="188"/>
      <c r="F83" s="188"/>
      <c r="G83" s="185"/>
      <c r="H83" s="185"/>
      <c r="I83" s="185"/>
      <c r="J83" s="185"/>
    </row>
    <row r="84" spans="1:14" s="117" customFormat="1">
      <c r="A84" s="194"/>
      <c r="B84" s="194"/>
      <c r="C84" s="188"/>
      <c r="D84" s="188"/>
      <c r="E84" s="188"/>
      <c r="F84" s="188"/>
      <c r="G84" s="185"/>
      <c r="H84" s="185"/>
      <c r="I84" s="185"/>
      <c r="J84" s="185"/>
    </row>
    <row r="85" spans="1:14" s="117" customFormat="1">
      <c r="A85" s="194"/>
      <c r="B85" s="194"/>
      <c r="C85" s="188"/>
      <c r="D85" s="188"/>
      <c r="E85" s="188"/>
      <c r="F85" s="188"/>
      <c r="G85" s="185"/>
      <c r="H85" s="185"/>
      <c r="I85" s="185"/>
      <c r="J85" s="185"/>
    </row>
    <row r="86" spans="1:14" s="117" customFormat="1" ht="15">
      <c r="C86" s="174"/>
      <c r="D86" s="174"/>
      <c r="E86" s="174"/>
      <c r="F86" s="174"/>
      <c r="G86" s="185"/>
      <c r="H86" s="185"/>
      <c r="I86" s="185"/>
      <c r="J86" s="185"/>
      <c r="K86" s="195"/>
      <c r="L86" s="190"/>
      <c r="M86" s="190"/>
      <c r="N86" s="190"/>
    </row>
    <row r="87" spans="1:14" s="117" customFormat="1">
      <c r="B87" s="196"/>
      <c r="C87" s="174"/>
      <c r="D87" s="174"/>
      <c r="E87" s="174"/>
      <c r="F87" s="174"/>
      <c r="G87" s="174"/>
      <c r="H87" s="174"/>
      <c r="I87" s="174"/>
      <c r="J87" s="174"/>
      <c r="K87" s="189"/>
      <c r="L87" s="190"/>
      <c r="M87" s="190"/>
      <c r="N87" s="190"/>
    </row>
    <row r="88" spans="1:14" s="117" customFormat="1">
      <c r="B88" s="196"/>
      <c r="C88" s="174"/>
      <c r="D88" s="174"/>
      <c r="E88" s="174"/>
      <c r="F88" s="174"/>
      <c r="G88" s="174"/>
      <c r="H88" s="174"/>
      <c r="I88" s="174"/>
      <c r="J88" s="174"/>
      <c r="K88" s="189"/>
      <c r="L88" s="190"/>
      <c r="M88" s="190"/>
      <c r="N88" s="190"/>
    </row>
    <row r="89" spans="1:14" s="117" customFormat="1">
      <c r="C89" s="174"/>
      <c r="D89" s="174"/>
      <c r="E89" s="174"/>
      <c r="F89" s="174"/>
      <c r="G89" s="174"/>
      <c r="H89" s="174"/>
      <c r="I89" s="174"/>
      <c r="J89" s="174"/>
      <c r="K89" s="189"/>
      <c r="L89" s="190"/>
      <c r="M89" s="190"/>
      <c r="N89" s="190"/>
    </row>
    <row r="90" spans="1:14" s="117" customFormat="1">
      <c r="C90" s="174"/>
      <c r="D90" s="174"/>
      <c r="E90" s="174"/>
      <c r="F90" s="174"/>
      <c r="G90" s="174"/>
      <c r="H90" s="174"/>
      <c r="I90" s="174"/>
      <c r="J90" s="174"/>
      <c r="K90" s="189"/>
      <c r="L90" s="190"/>
      <c r="M90" s="190"/>
      <c r="N90" s="190"/>
    </row>
    <row r="91" spans="1:14" s="117" customFormat="1">
      <c r="C91" s="174"/>
      <c r="D91" s="174"/>
      <c r="E91" s="174"/>
      <c r="F91" s="174"/>
      <c r="G91" s="174"/>
      <c r="H91" s="174"/>
      <c r="I91" s="174"/>
      <c r="J91" s="174"/>
      <c r="K91" s="189"/>
      <c r="L91" s="190"/>
      <c r="M91" s="190"/>
      <c r="N91" s="190"/>
    </row>
    <row r="92" spans="1:14" s="117" customFormat="1">
      <c r="C92" s="174"/>
      <c r="D92" s="174"/>
      <c r="E92" s="174"/>
      <c r="F92" s="174"/>
      <c r="G92" s="174"/>
      <c r="H92" s="174"/>
      <c r="I92" s="174"/>
      <c r="J92" s="174"/>
      <c r="K92" s="189"/>
      <c r="L92" s="190"/>
      <c r="M92" s="190"/>
      <c r="N92" s="190"/>
    </row>
    <row r="93" spans="1:14" s="117" customFormat="1">
      <c r="C93" s="174"/>
      <c r="D93" s="174"/>
      <c r="E93" s="174"/>
      <c r="F93" s="174"/>
      <c r="G93" s="174"/>
      <c r="H93" s="174"/>
      <c r="I93" s="174"/>
      <c r="J93" s="174"/>
      <c r="K93" s="189"/>
      <c r="L93" s="190"/>
      <c r="M93" s="190"/>
      <c r="N93" s="190"/>
    </row>
    <row r="94" spans="1:14" s="117" customFormat="1">
      <c r="C94" s="174"/>
      <c r="D94" s="174"/>
      <c r="E94" s="174"/>
      <c r="F94" s="174"/>
      <c r="G94" s="174"/>
      <c r="H94" s="174"/>
      <c r="I94" s="174"/>
      <c r="J94" s="174"/>
      <c r="K94" s="189"/>
      <c r="L94" s="190"/>
      <c r="M94" s="190"/>
      <c r="N94" s="190"/>
    </row>
    <row r="95" spans="1:14" s="117" customFormat="1">
      <c r="C95" s="174"/>
      <c r="D95" s="174"/>
      <c r="E95" s="174"/>
      <c r="F95" s="174"/>
      <c r="G95" s="174"/>
      <c r="H95" s="174"/>
      <c r="I95" s="174"/>
      <c r="J95" s="174"/>
      <c r="K95" s="189"/>
      <c r="L95" s="190"/>
      <c r="M95" s="190"/>
      <c r="N95" s="190"/>
    </row>
    <row r="96" spans="1:14" s="117" customFormat="1">
      <c r="C96" s="197"/>
      <c r="D96" s="197"/>
      <c r="E96" s="198"/>
      <c r="F96" s="199"/>
      <c r="G96" s="197"/>
      <c r="H96" s="197"/>
      <c r="I96" s="197"/>
      <c r="J96" s="197"/>
      <c r="L96" s="200"/>
      <c r="M96" s="200"/>
      <c r="N96" s="200"/>
    </row>
    <row r="97" spans="2:11" s="117" customFormat="1" ht="15">
      <c r="C97" s="154"/>
      <c r="D97" s="154"/>
      <c r="E97" s="190"/>
      <c r="F97" s="154"/>
      <c r="G97" s="201"/>
      <c r="H97" s="201"/>
      <c r="I97" s="201"/>
      <c r="J97" s="201"/>
    </row>
    <row r="98" spans="2:11" s="117" customFormat="1" ht="15">
      <c r="C98" s="190"/>
      <c r="D98" s="190"/>
      <c r="E98" s="190"/>
      <c r="F98" s="190"/>
      <c r="G98" s="154"/>
      <c r="H98" s="154"/>
      <c r="I98" s="154"/>
      <c r="J98" s="154"/>
      <c r="K98" s="190"/>
    </row>
    <row r="99" spans="2:11" s="117" customFormat="1" ht="15">
      <c r="C99" s="154"/>
      <c r="D99" s="154"/>
      <c r="E99" s="154"/>
      <c r="F99" s="154"/>
      <c r="G99" s="154"/>
      <c r="H99" s="154"/>
      <c r="I99" s="154"/>
      <c r="J99" s="154"/>
    </row>
    <row r="100" spans="2:11" s="117" customFormat="1"/>
    <row r="101" spans="2:11" s="117" customFormat="1" ht="16.5">
      <c r="B101" s="202"/>
      <c r="C101" s="203"/>
      <c r="D101" s="203"/>
      <c r="E101" s="204"/>
      <c r="F101" s="203"/>
      <c r="G101" s="205"/>
      <c r="H101" s="205"/>
      <c r="I101" s="205"/>
      <c r="J101" s="205"/>
    </row>
    <row r="102" spans="2:11" s="117" customFormat="1">
      <c r="B102" s="202"/>
      <c r="C102" s="206"/>
      <c r="D102" s="206"/>
      <c r="E102" s="206"/>
      <c r="F102" s="206"/>
      <c r="G102" s="206"/>
      <c r="H102" s="206"/>
      <c r="I102" s="206"/>
      <c r="J102" s="206"/>
    </row>
    <row r="103" spans="2:11" s="117" customFormat="1">
      <c r="B103" s="207"/>
      <c r="C103" s="206"/>
      <c r="D103" s="206"/>
      <c r="E103" s="206"/>
      <c r="F103" s="206"/>
      <c r="G103" s="206"/>
      <c r="H103" s="206"/>
      <c r="I103" s="206"/>
      <c r="J103" s="206"/>
    </row>
    <row r="104" spans="2:11" s="117" customFormat="1">
      <c r="B104" s="202"/>
      <c r="C104" s="208"/>
      <c r="D104" s="208"/>
      <c r="E104" s="208"/>
      <c r="F104" s="208"/>
      <c r="G104" s="208"/>
      <c r="H104" s="208"/>
      <c r="I104" s="208"/>
      <c r="J104" s="208"/>
    </row>
    <row r="105" spans="2:11" s="117" customFormat="1">
      <c r="C105" s="188"/>
      <c r="D105" s="188"/>
      <c r="E105" s="188"/>
      <c r="F105" s="188"/>
    </row>
    <row r="106" spans="2:11" s="117" customFormat="1">
      <c r="C106" s="209"/>
      <c r="D106" s="209"/>
      <c r="E106" s="159"/>
      <c r="F106" s="209"/>
      <c r="G106" s="209"/>
      <c r="H106" s="209"/>
      <c r="I106" s="209"/>
      <c r="J106" s="209"/>
    </row>
    <row r="107" spans="2:11" s="117" customFormat="1">
      <c r="C107" s="209"/>
      <c r="D107" s="209"/>
      <c r="E107" s="159"/>
      <c r="F107" s="209"/>
      <c r="G107" s="209"/>
      <c r="H107" s="209"/>
      <c r="I107" s="209"/>
      <c r="J107" s="209"/>
    </row>
    <row r="108" spans="2:11" s="117" customFormat="1">
      <c r="C108" s="209"/>
      <c r="D108" s="209"/>
      <c r="E108" s="209"/>
      <c r="F108" s="209"/>
      <c r="G108" s="209"/>
      <c r="H108" s="209"/>
      <c r="I108" s="209"/>
      <c r="J108" s="209"/>
    </row>
    <row r="109" spans="2:11" s="117" customFormat="1"/>
    <row r="110" spans="2:11" s="117" customFormat="1">
      <c r="C110" s="190"/>
      <c r="D110" s="190"/>
      <c r="E110" s="190"/>
      <c r="F110" s="190"/>
      <c r="G110" s="190"/>
      <c r="H110" s="190"/>
      <c r="I110" s="190"/>
      <c r="J110" s="190"/>
    </row>
    <row r="111" spans="2:11" s="117" customFormat="1" ht="15">
      <c r="C111" s="154"/>
      <c r="D111" s="154"/>
      <c r="E111" s="154"/>
      <c r="F111" s="154"/>
      <c r="G111" s="154"/>
      <c r="H111" s="154"/>
      <c r="I111" s="154"/>
      <c r="J111" s="154"/>
    </row>
    <row r="112" spans="2:11" s="117" customFormat="1"/>
    <row r="113" spans="1:14" s="117" customFormat="1"/>
    <row r="114" spans="1:14" s="117" customFormat="1" ht="15">
      <c r="C114" s="190"/>
      <c r="D114" s="190"/>
      <c r="E114" s="154"/>
      <c r="F114" s="190"/>
      <c r="G114" s="201"/>
      <c r="H114" s="201"/>
      <c r="I114" s="201"/>
      <c r="J114" s="201"/>
    </row>
    <row r="115" spans="1:14" s="117" customFormat="1"/>
    <row r="116" spans="1:14" s="117" customFormat="1"/>
    <row r="117" spans="1:14" s="117" customFormat="1"/>
    <row r="118" spans="1:14" s="188" customFormat="1" ht="11.25">
      <c r="A118" s="194"/>
      <c r="C118" s="187"/>
      <c r="D118" s="187"/>
      <c r="E118" s="187"/>
      <c r="F118" s="187"/>
      <c r="G118" s="187"/>
      <c r="H118" s="187"/>
      <c r="I118" s="187"/>
      <c r="J118" s="187"/>
      <c r="K118" s="187"/>
      <c r="L118" s="187"/>
      <c r="M118" s="187"/>
      <c r="N118" s="187"/>
    </row>
    <row r="119" spans="1:14" s="188" customFormat="1" ht="11.25"/>
    <row r="120" spans="1:14" s="188" customFormat="1" ht="11.25"/>
    <row r="121" spans="1:14" s="188" customFormat="1" ht="11.25"/>
    <row r="122" spans="1:14" s="188" customFormat="1" ht="11.25">
      <c r="A122" s="194"/>
      <c r="B122" s="194"/>
    </row>
    <row r="123" spans="1:14" s="117" customFormat="1">
      <c r="A123" s="194"/>
      <c r="B123" s="194"/>
      <c r="C123" s="188"/>
      <c r="D123" s="188"/>
      <c r="E123" s="188"/>
      <c r="F123" s="188"/>
      <c r="G123" s="188"/>
      <c r="H123" s="188"/>
      <c r="I123" s="188"/>
      <c r="J123" s="188"/>
      <c r="K123" s="188"/>
      <c r="L123" s="188"/>
      <c r="M123" s="188"/>
      <c r="N123" s="188"/>
    </row>
    <row r="124" spans="1:14" s="117" customFormat="1"/>
    <row r="125" spans="1:14" s="117" customFormat="1"/>
    <row r="126" spans="1:14" s="117" customFormat="1"/>
    <row r="127" spans="1:14" s="117" customFormat="1"/>
    <row r="128" spans="1:14" s="117" customFormat="1"/>
    <row r="129" s="117" customFormat="1"/>
    <row r="130" s="117" customFormat="1"/>
    <row r="131" s="117" customFormat="1"/>
    <row r="132" s="117" customFormat="1"/>
    <row r="133" s="117" customFormat="1"/>
    <row r="134" s="117" customFormat="1"/>
    <row r="135" s="117" customFormat="1"/>
    <row r="136" s="117" customFormat="1"/>
    <row r="137" s="117" customFormat="1"/>
    <row r="138" s="117" customFormat="1"/>
    <row r="139" s="117" customFormat="1"/>
    <row r="140" s="117" customFormat="1"/>
    <row r="141" s="117" customFormat="1"/>
    <row r="142" s="117" customFormat="1"/>
    <row r="143" s="117" customFormat="1"/>
    <row r="144" s="117" customFormat="1"/>
    <row r="145" s="117" customFormat="1"/>
    <row r="146" s="117" customFormat="1"/>
    <row r="147" s="117" customFormat="1"/>
    <row r="148" s="117" customFormat="1"/>
    <row r="149" s="117" customFormat="1"/>
    <row r="150" s="117" customFormat="1"/>
    <row r="151" s="117" customFormat="1"/>
    <row r="152" s="117" customFormat="1"/>
    <row r="153" s="117" customFormat="1"/>
    <row r="154" s="117" customFormat="1"/>
    <row r="155" s="117" customFormat="1"/>
    <row r="156" s="117" customFormat="1"/>
    <row r="157" s="117" customFormat="1"/>
    <row r="158" s="117" customFormat="1"/>
    <row r="159" s="117" customFormat="1"/>
    <row r="160" s="117" customFormat="1"/>
    <row r="161" s="117" customFormat="1"/>
    <row r="162" s="117" customFormat="1"/>
    <row r="163" s="117" customFormat="1"/>
    <row r="164" s="117" customFormat="1"/>
    <row r="165" s="117" customFormat="1"/>
    <row r="166" s="117" customFormat="1"/>
    <row r="167" s="117" customFormat="1"/>
    <row r="168" s="117" customFormat="1"/>
    <row r="169" s="117" customFormat="1"/>
    <row r="170" s="117" customFormat="1"/>
    <row r="171" s="117" customFormat="1"/>
    <row r="172" s="117" customFormat="1"/>
    <row r="173" s="117" customFormat="1"/>
    <row r="174" s="117" customFormat="1"/>
    <row r="175" s="117" customFormat="1"/>
    <row r="176" s="117" customFormat="1"/>
    <row r="177" s="117" customFormat="1"/>
    <row r="178" s="117" customFormat="1"/>
    <row r="179" s="117" customFormat="1"/>
    <row r="180" s="117" customFormat="1"/>
    <row r="181" s="117" customFormat="1"/>
    <row r="182" s="117" customFormat="1"/>
    <row r="183" s="117" customFormat="1"/>
    <row r="184" s="117" customFormat="1"/>
    <row r="185" s="117" customFormat="1"/>
    <row r="186" s="117" customFormat="1"/>
    <row r="187" s="117" customFormat="1"/>
    <row r="188" s="117" customFormat="1"/>
    <row r="189" s="117" customFormat="1"/>
    <row r="190" s="117" customFormat="1"/>
    <row r="191" s="117" customFormat="1"/>
    <row r="192" s="117" customFormat="1"/>
    <row r="193" s="117" customFormat="1"/>
    <row r="194" s="117" customFormat="1"/>
    <row r="195" s="117" customFormat="1"/>
    <row r="196" s="117" customFormat="1"/>
    <row r="197" s="117" customFormat="1"/>
    <row r="198" s="117" customFormat="1"/>
    <row r="199" s="117" customFormat="1"/>
    <row r="200" s="117" customFormat="1"/>
    <row r="201" s="117" customFormat="1"/>
    <row r="202" s="117" customFormat="1"/>
    <row r="203" s="117" customFormat="1"/>
    <row r="204" s="117" customFormat="1"/>
    <row r="205" s="117" customFormat="1"/>
    <row r="206" s="117" customFormat="1"/>
    <row r="207" s="117" customFormat="1"/>
    <row r="208" s="117" customFormat="1"/>
    <row r="209" s="117" customFormat="1"/>
    <row r="210" s="117" customFormat="1"/>
    <row r="211" s="117" customFormat="1"/>
    <row r="212" s="117" customFormat="1"/>
    <row r="213" s="117" customFormat="1"/>
    <row r="214" s="117" customFormat="1"/>
    <row r="215" s="117" customFormat="1"/>
    <row r="216" s="117" customFormat="1"/>
    <row r="217" s="117" customFormat="1"/>
    <row r="218" s="117" customFormat="1"/>
    <row r="219" s="117" customFormat="1"/>
    <row r="220" s="117" customFormat="1"/>
    <row r="221" s="117" customFormat="1"/>
    <row r="222" s="117" customFormat="1"/>
    <row r="223" s="117" customFormat="1"/>
    <row r="224" s="117" customFormat="1"/>
    <row r="225" s="117" customFormat="1"/>
    <row r="226" s="117" customFormat="1"/>
    <row r="227" s="117" customFormat="1"/>
    <row r="228" s="117" customFormat="1"/>
  </sheetData>
  <mergeCells count="3">
    <mergeCell ref="A1:N1"/>
    <mergeCell ref="C5:K5"/>
    <mergeCell ref="C28:G28"/>
  </mergeCells>
  <pageMargins left="0.75" right="0.75" top="1" bottom="1" header="0.5" footer="0.5"/>
  <pageSetup scale="56" orientation="landscape" r:id="rId1"/>
  <headerFooter alignWithMargins="0">
    <oddFooter>&amp;L&amp;9&amp;D
&amp;F
&amp;A</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N51"/>
  <sheetViews>
    <sheetView zoomScaleNormal="100" workbookViewId="0">
      <selection sqref="A1:H1"/>
    </sheetView>
  </sheetViews>
  <sheetFormatPr defaultColWidth="8.85546875" defaultRowHeight="12"/>
  <cols>
    <col min="1" max="1" width="4.85546875" style="2" customWidth="1"/>
    <col min="2" max="2" width="5.140625" style="2" customWidth="1"/>
    <col min="3" max="3" width="33.7109375" style="2" customWidth="1"/>
    <col min="4" max="4" width="15.7109375" style="2" bestFit="1" customWidth="1"/>
    <col min="5" max="5" width="14.7109375" style="2" bestFit="1" customWidth="1"/>
    <col min="6" max="6" width="13.140625" style="2" customWidth="1"/>
    <col min="7" max="7" width="14.7109375" style="2" bestFit="1" customWidth="1"/>
    <col min="8" max="8" width="13.5703125" style="2" bestFit="1" customWidth="1"/>
    <col min="9" max="9" width="12.28515625" style="2" bestFit="1" customWidth="1"/>
    <col min="10" max="10" width="11.5703125" style="2" bestFit="1" customWidth="1"/>
    <col min="11" max="11" width="12.42578125" style="2" customWidth="1"/>
    <col min="12" max="12" width="10.85546875" style="2" customWidth="1"/>
    <col min="13" max="13" width="11" style="2" bestFit="1" customWidth="1"/>
    <col min="14" max="15" width="10.5703125" style="2" bestFit="1" customWidth="1"/>
    <col min="16" max="16384" width="8.85546875" style="2"/>
  </cols>
  <sheetData>
    <row r="1" spans="1:11" s="13" customFormat="1" ht="15.75">
      <c r="A1" s="610" t="s">
        <v>55</v>
      </c>
      <c r="B1" s="610"/>
      <c r="C1" s="610"/>
      <c r="D1" s="610"/>
      <c r="E1" s="610"/>
      <c r="F1" s="610"/>
      <c r="G1" s="610"/>
      <c r="H1" s="610"/>
      <c r="I1" s="45"/>
      <c r="J1" s="45"/>
    </row>
    <row r="2" spans="1:11" s="13" customFormat="1" ht="15.75">
      <c r="A2" s="610" t="s">
        <v>35</v>
      </c>
      <c r="B2" s="610"/>
      <c r="C2" s="610"/>
      <c r="D2" s="610"/>
      <c r="E2" s="610"/>
      <c r="F2" s="610"/>
      <c r="G2" s="610"/>
      <c r="H2" s="610"/>
      <c r="I2" s="45"/>
      <c r="J2" s="45"/>
    </row>
    <row r="3" spans="1:11" s="13" customFormat="1" ht="15.75">
      <c r="A3" s="610" t="s">
        <v>338</v>
      </c>
      <c r="B3" s="610"/>
      <c r="C3" s="610"/>
      <c r="D3" s="610"/>
      <c r="E3" s="610"/>
      <c r="F3" s="610"/>
      <c r="G3" s="610"/>
      <c r="H3" s="610"/>
      <c r="I3" s="45"/>
      <c r="J3" s="45"/>
    </row>
    <row r="4" spans="1:11">
      <c r="A4" s="631"/>
      <c r="B4" s="632"/>
      <c r="C4" s="632"/>
      <c r="D4" s="632"/>
      <c r="E4" s="632"/>
      <c r="F4" s="632"/>
      <c r="G4" s="632"/>
      <c r="H4" s="632"/>
      <c r="I4" s="6"/>
      <c r="J4" s="6"/>
    </row>
    <row r="5" spans="1:11">
      <c r="A5" s="1"/>
    </row>
    <row r="6" spans="1:11">
      <c r="B6" s="112"/>
      <c r="C6" s="112" t="s">
        <v>65</v>
      </c>
      <c r="D6" s="113">
        <v>0.05</v>
      </c>
    </row>
    <row r="7" spans="1:11" ht="22.5" customHeight="1">
      <c r="A7" s="633" t="s">
        <v>339</v>
      </c>
      <c r="B7" s="633"/>
      <c r="C7" s="633"/>
      <c r="D7" s="633"/>
      <c r="E7" s="633"/>
      <c r="F7" s="633"/>
      <c r="G7" s="633"/>
      <c r="H7" s="633"/>
      <c r="I7" s="6"/>
      <c r="J7" s="6"/>
    </row>
    <row r="8" spans="1:11" ht="19.5" customHeight="1">
      <c r="A8" s="83"/>
      <c r="B8" s="84"/>
      <c r="C8" s="84"/>
      <c r="D8" s="629" t="s">
        <v>26</v>
      </c>
      <c r="E8" s="630"/>
      <c r="F8" s="95" t="s">
        <v>54</v>
      </c>
      <c r="G8" s="85"/>
      <c r="H8" s="226"/>
      <c r="I8" s="226"/>
    </row>
    <row r="9" spans="1:11" s="1" customFormat="1" ht="24">
      <c r="A9" s="316" t="s">
        <v>29</v>
      </c>
      <c r="B9" s="317"/>
      <c r="C9" s="317"/>
      <c r="D9" s="92" t="s">
        <v>53</v>
      </c>
      <c r="E9" s="91" t="s">
        <v>56</v>
      </c>
      <c r="F9" s="92" t="s">
        <v>88</v>
      </c>
      <c r="G9" s="318" t="s">
        <v>340</v>
      </c>
      <c r="H9" s="318" t="s">
        <v>327</v>
      </c>
      <c r="I9" s="318" t="s">
        <v>328</v>
      </c>
      <c r="J9" s="76"/>
      <c r="K9" s="76"/>
    </row>
    <row r="10" spans="1:11" ht="15" customHeight="1">
      <c r="A10" s="32" t="s">
        <v>382</v>
      </c>
      <c r="B10" s="4"/>
      <c r="C10" s="42"/>
      <c r="D10" s="435">
        <v>0</v>
      </c>
      <c r="E10" s="421">
        <f>D36</f>
        <v>49272563</v>
      </c>
      <c r="F10" s="435">
        <f>E36</f>
        <v>9116143</v>
      </c>
      <c r="G10" s="436">
        <f>SUM(D10:E10)-F10</f>
        <v>40156420</v>
      </c>
      <c r="H10" s="436">
        <v>34388077.413195379</v>
      </c>
      <c r="I10" s="438">
        <f>G10-H10</f>
        <v>5768342.5868046209</v>
      </c>
    </row>
    <row r="11" spans="1:11" ht="15" customHeight="1">
      <c r="A11" s="34" t="s">
        <v>375</v>
      </c>
      <c r="B11" s="7"/>
      <c r="C11" s="33"/>
      <c r="D11" s="439"/>
      <c r="E11" s="347">
        <f>+D39</f>
        <v>213750</v>
      </c>
      <c r="F11" s="439">
        <f>+E39</f>
        <v>106875</v>
      </c>
      <c r="G11" s="425">
        <f>SUM(D11:E11)-F11</f>
        <v>106875</v>
      </c>
      <c r="H11" s="425">
        <v>0</v>
      </c>
      <c r="I11" s="441">
        <f>G11-H11</f>
        <v>106875</v>
      </c>
    </row>
    <row r="12" spans="1:11" ht="15" customHeight="1">
      <c r="A12" s="34" t="s">
        <v>239</v>
      </c>
      <c r="B12" s="7"/>
      <c r="C12" s="33"/>
      <c r="D12" s="439">
        <v>0</v>
      </c>
      <c r="E12" s="347">
        <f>+D50</f>
        <v>18098965</v>
      </c>
      <c r="F12" s="439">
        <f>+E50</f>
        <v>5456714</v>
      </c>
      <c r="G12" s="425">
        <f t="shared" ref="G12:G18" si="0">SUM(D12:E12)-F12</f>
        <v>12642251</v>
      </c>
      <c r="H12" s="425">
        <v>8570079.0550178457</v>
      </c>
      <c r="I12" s="441">
        <f t="shared" ref="I12:I17" si="1">G12-H12</f>
        <v>4072171.9449821543</v>
      </c>
    </row>
    <row r="13" spans="1:11" ht="15" customHeight="1">
      <c r="A13" s="34" t="s">
        <v>194</v>
      </c>
      <c r="B13" s="7"/>
      <c r="C13" s="33"/>
      <c r="D13" s="439">
        <v>0</v>
      </c>
      <c r="E13" s="347">
        <v>492720</v>
      </c>
      <c r="F13" s="439">
        <v>0</v>
      </c>
      <c r="G13" s="425">
        <f t="shared" si="0"/>
        <v>492720</v>
      </c>
      <c r="H13" s="425">
        <v>484961</v>
      </c>
      <c r="I13" s="441">
        <f t="shared" si="1"/>
        <v>7759</v>
      </c>
      <c r="J13" s="291"/>
    </row>
    <row r="14" spans="1:11" ht="15" customHeight="1">
      <c r="A14" s="294" t="s">
        <v>17</v>
      </c>
      <c r="B14" s="6"/>
      <c r="C14" s="295"/>
      <c r="D14" s="439">
        <v>19372723</v>
      </c>
      <c r="E14" s="347">
        <v>0</v>
      </c>
      <c r="F14" s="439">
        <v>230015</v>
      </c>
      <c r="G14" s="425">
        <f t="shared" si="0"/>
        <v>19142708</v>
      </c>
      <c r="H14" s="425">
        <v>20895999.592435952</v>
      </c>
      <c r="I14" s="441">
        <f t="shared" si="1"/>
        <v>-1753291.5924359523</v>
      </c>
      <c r="J14" s="291"/>
    </row>
    <row r="15" spans="1:11" ht="15" customHeight="1">
      <c r="A15" s="34" t="s">
        <v>156</v>
      </c>
      <c r="B15" s="7"/>
      <c r="C15" s="33"/>
      <c r="D15" s="439">
        <v>0</v>
      </c>
      <c r="E15" s="347">
        <v>918042</v>
      </c>
      <c r="F15" s="439">
        <v>85038</v>
      </c>
      <c r="G15" s="425">
        <f t="shared" si="0"/>
        <v>833004</v>
      </c>
      <c r="H15" s="425">
        <v>940902.49512614985</v>
      </c>
      <c r="I15" s="441">
        <f t="shared" si="1"/>
        <v>-107898.49512614985</v>
      </c>
      <c r="J15" s="291"/>
    </row>
    <row r="16" spans="1:11" ht="15" customHeight="1">
      <c r="A16" s="34" t="s">
        <v>202</v>
      </c>
      <c r="B16" s="7"/>
      <c r="C16" s="33"/>
      <c r="D16" s="439">
        <v>0</v>
      </c>
      <c r="E16" s="347">
        <f>+D44</f>
        <v>6304364</v>
      </c>
      <c r="F16" s="439">
        <f>+E44</f>
        <v>443539</v>
      </c>
      <c r="G16" s="425">
        <f t="shared" si="0"/>
        <v>5860825</v>
      </c>
      <c r="H16" s="425">
        <v>5710675.6749999998</v>
      </c>
      <c r="I16" s="441">
        <f t="shared" si="1"/>
        <v>150149.32500000019</v>
      </c>
    </row>
    <row r="17" spans="1:14" ht="15" customHeight="1">
      <c r="A17" s="34" t="s">
        <v>21</v>
      </c>
      <c r="B17" s="7"/>
      <c r="C17" s="33"/>
      <c r="D17" s="439">
        <v>19970127</v>
      </c>
      <c r="E17" s="347">
        <v>0</v>
      </c>
      <c r="F17" s="439">
        <v>998506</v>
      </c>
      <c r="G17" s="425">
        <f t="shared" si="0"/>
        <v>18971621</v>
      </c>
      <c r="H17" s="425">
        <v>18376701.199999999</v>
      </c>
      <c r="I17" s="441">
        <f t="shared" si="1"/>
        <v>594919.80000000075</v>
      </c>
    </row>
    <row r="18" spans="1:14" ht="15" customHeight="1">
      <c r="A18" s="35" t="s">
        <v>355</v>
      </c>
      <c r="B18" s="8"/>
      <c r="C18" s="36"/>
      <c r="D18" s="444">
        <v>1862192</v>
      </c>
      <c r="E18" s="443"/>
      <c r="F18" s="444">
        <v>0</v>
      </c>
      <c r="G18" s="445">
        <f t="shared" si="0"/>
        <v>1862192</v>
      </c>
      <c r="H18" s="445">
        <v>0</v>
      </c>
      <c r="I18" s="447">
        <f>G18-H18</f>
        <v>1862192</v>
      </c>
    </row>
    <row r="19" spans="1:14" ht="22.5" customHeight="1">
      <c r="A19" s="37"/>
      <c r="B19" s="38"/>
      <c r="C19" s="38" t="s">
        <v>2</v>
      </c>
      <c r="D19" s="426">
        <f t="shared" ref="D19:I19" si="2">SUM(D10:D18)</f>
        <v>41205042</v>
      </c>
      <c r="E19" s="235">
        <f t="shared" si="2"/>
        <v>75300404</v>
      </c>
      <c r="F19" s="426">
        <f t="shared" si="2"/>
        <v>16436830</v>
      </c>
      <c r="G19" s="448">
        <f t="shared" si="2"/>
        <v>100068616</v>
      </c>
      <c r="H19" s="448">
        <f t="shared" si="2"/>
        <v>89367396.430775329</v>
      </c>
      <c r="I19" s="448">
        <f t="shared" si="2"/>
        <v>10701219.569224674</v>
      </c>
    </row>
    <row r="20" spans="1:14" ht="16.5" customHeight="1">
      <c r="E20" s="7"/>
      <c r="I20" s="374" t="s">
        <v>195</v>
      </c>
    </row>
    <row r="21" spans="1:14" ht="14.25">
      <c r="C21" s="243" t="s">
        <v>132</v>
      </c>
      <c r="D21" s="243" t="s">
        <v>26</v>
      </c>
      <c r="E21" s="323" t="s">
        <v>88</v>
      </c>
      <c r="F21" s="243" t="s">
        <v>135</v>
      </c>
      <c r="H21" s="547"/>
      <c r="I21" s="547"/>
      <c r="J21" s="547"/>
      <c r="K21" s="547"/>
      <c r="L21" s="547"/>
      <c r="M21" s="6"/>
      <c r="N21" s="6"/>
    </row>
    <row r="22" spans="1:14">
      <c r="C22" s="77" t="s">
        <v>133</v>
      </c>
      <c r="D22" s="449">
        <v>37500</v>
      </c>
      <c r="E22" s="449">
        <v>1875</v>
      </c>
      <c r="F22" s="449">
        <f>D22-E22</f>
        <v>35625</v>
      </c>
      <c r="H22" s="6"/>
      <c r="I22" s="548"/>
      <c r="J22" s="548"/>
      <c r="K22" s="548"/>
      <c r="L22" s="548"/>
      <c r="M22" s="6"/>
      <c r="N22" s="6"/>
    </row>
    <row r="23" spans="1:14">
      <c r="C23" s="2" t="s">
        <v>134</v>
      </c>
      <c r="D23" s="449">
        <v>0</v>
      </c>
      <c r="E23" s="449">
        <v>0</v>
      </c>
      <c r="F23" s="449">
        <f t="shared" ref="F23:F33" si="3">D23-E23</f>
        <v>0</v>
      </c>
      <c r="H23" s="6"/>
      <c r="I23" s="412"/>
      <c r="J23" s="412"/>
      <c r="K23" s="412"/>
      <c r="L23" s="412"/>
      <c r="M23" s="6"/>
      <c r="N23" s="6"/>
    </row>
    <row r="24" spans="1:14">
      <c r="C24" s="2" t="s">
        <v>136</v>
      </c>
      <c r="D24" s="449">
        <v>4388000</v>
      </c>
      <c r="E24" s="449">
        <v>219400</v>
      </c>
      <c r="F24" s="449">
        <f t="shared" si="3"/>
        <v>4168600</v>
      </c>
      <c r="H24" s="6"/>
      <c r="I24" s="412"/>
      <c r="J24" s="412"/>
      <c r="K24" s="412"/>
      <c r="L24" s="412"/>
      <c r="M24" s="6"/>
      <c r="N24" s="6"/>
    </row>
    <row r="25" spans="1:14">
      <c r="C25" s="77" t="s">
        <v>137</v>
      </c>
      <c r="D25" s="449">
        <v>6960193</v>
      </c>
      <c r="E25" s="449">
        <v>348010</v>
      </c>
      <c r="F25" s="449">
        <f t="shared" si="3"/>
        <v>6612183</v>
      </c>
      <c r="H25" s="6"/>
      <c r="I25" s="412"/>
      <c r="J25" s="412"/>
      <c r="K25" s="412"/>
      <c r="L25" s="412"/>
      <c r="M25" s="6"/>
      <c r="N25" s="6"/>
    </row>
    <row r="26" spans="1:14">
      <c r="C26" s="77" t="s">
        <v>138</v>
      </c>
      <c r="D26" s="449">
        <v>6961970</v>
      </c>
      <c r="E26" s="449">
        <v>348099</v>
      </c>
      <c r="F26" s="449">
        <f t="shared" si="3"/>
        <v>6613871</v>
      </c>
      <c r="H26" s="6"/>
      <c r="I26" s="412"/>
      <c r="J26" s="412"/>
      <c r="K26" s="412"/>
      <c r="L26" s="412"/>
      <c r="M26" s="6"/>
      <c r="N26" s="6"/>
    </row>
    <row r="27" spans="1:14">
      <c r="C27" s="2" t="s">
        <v>139</v>
      </c>
      <c r="D27" s="449">
        <v>0</v>
      </c>
      <c r="E27" s="449">
        <v>0</v>
      </c>
      <c r="F27" s="449">
        <f t="shared" si="3"/>
        <v>0</v>
      </c>
      <c r="H27" s="6"/>
      <c r="I27" s="412"/>
      <c r="J27" s="412"/>
      <c r="K27" s="412"/>
      <c r="L27" s="412"/>
      <c r="M27" s="6"/>
      <c r="N27" s="6"/>
    </row>
    <row r="28" spans="1:14">
      <c r="C28" s="2" t="s">
        <v>157</v>
      </c>
      <c r="D28" s="449">
        <f>3785462/2</f>
        <v>1892731</v>
      </c>
      <c r="E28" s="449">
        <f>122316/2</f>
        <v>61158</v>
      </c>
      <c r="F28" s="449">
        <f t="shared" si="3"/>
        <v>1831573</v>
      </c>
      <c r="H28" s="6"/>
      <c r="I28" s="412"/>
      <c r="J28" s="412"/>
      <c r="K28" s="412"/>
      <c r="L28" s="412"/>
      <c r="M28" s="6"/>
      <c r="N28" s="6"/>
    </row>
    <row r="29" spans="1:14">
      <c r="C29" s="2" t="s">
        <v>140</v>
      </c>
      <c r="D29" s="449">
        <v>2728427</v>
      </c>
      <c r="E29" s="449">
        <v>69327</v>
      </c>
      <c r="F29" s="449">
        <f t="shared" si="3"/>
        <v>2659100</v>
      </c>
      <c r="H29" s="6"/>
      <c r="I29" s="412"/>
      <c r="J29" s="412"/>
      <c r="K29" s="412"/>
      <c r="L29" s="412"/>
      <c r="M29" s="6"/>
      <c r="N29" s="6"/>
    </row>
    <row r="30" spans="1:14">
      <c r="C30" s="2" t="s">
        <v>141</v>
      </c>
      <c r="D30" s="449">
        <v>2587597</v>
      </c>
      <c r="E30" s="449">
        <v>80961</v>
      </c>
      <c r="F30" s="449">
        <f t="shared" si="3"/>
        <v>2506636</v>
      </c>
      <c r="H30" s="6"/>
      <c r="I30" s="412"/>
      <c r="J30" s="412"/>
      <c r="K30" s="412"/>
      <c r="L30" s="412"/>
      <c r="M30" s="6"/>
      <c r="N30" s="6"/>
    </row>
    <row r="31" spans="1:14">
      <c r="C31" s="2" t="s">
        <v>155</v>
      </c>
      <c r="D31" s="449">
        <v>5840339</v>
      </c>
      <c r="E31" s="449">
        <v>237584</v>
      </c>
      <c r="F31" s="449">
        <f t="shared" si="3"/>
        <v>5602755</v>
      </c>
      <c r="H31" s="6"/>
      <c r="I31" s="412"/>
      <c r="J31" s="412"/>
      <c r="K31" s="412"/>
      <c r="L31" s="412"/>
      <c r="M31" s="6"/>
      <c r="N31" s="6"/>
    </row>
    <row r="32" spans="1:14">
      <c r="C32" s="2" t="s">
        <v>210</v>
      </c>
      <c r="D32" s="449">
        <v>2020369</v>
      </c>
      <c r="E32" s="449">
        <v>151090</v>
      </c>
      <c r="F32" s="449">
        <f t="shared" si="3"/>
        <v>1869279</v>
      </c>
      <c r="H32" s="6"/>
      <c r="I32" s="412"/>
      <c r="J32" s="412"/>
      <c r="K32" s="412"/>
      <c r="L32" s="412"/>
      <c r="M32" s="6"/>
      <c r="N32" s="6"/>
    </row>
    <row r="33" spans="3:14">
      <c r="C33" s="2" t="s">
        <v>354</v>
      </c>
      <c r="D33" s="449">
        <v>747653</v>
      </c>
      <c r="E33" s="449">
        <v>44747</v>
      </c>
      <c r="F33" s="449">
        <f t="shared" si="3"/>
        <v>702906</v>
      </c>
      <c r="H33" s="6"/>
      <c r="I33" s="412"/>
      <c r="J33" s="412"/>
      <c r="K33" s="412"/>
      <c r="L33" s="412"/>
      <c r="M33" s="6"/>
      <c r="N33" s="6"/>
    </row>
    <row r="34" spans="3:14">
      <c r="C34" s="2" t="s">
        <v>249</v>
      </c>
      <c r="D34" s="449">
        <f>1796015+4498643+5825036</f>
        <v>12119694</v>
      </c>
      <c r="E34" s="449">
        <f>+D34*0.5</f>
        <v>6059847</v>
      </c>
      <c r="F34" s="449">
        <f>D34-E34</f>
        <v>6059847</v>
      </c>
      <c r="H34" s="6"/>
      <c r="I34" s="412"/>
      <c r="J34" s="412"/>
      <c r="K34" s="412"/>
      <c r="L34" s="412"/>
      <c r="M34" s="6"/>
      <c r="N34" s="6"/>
    </row>
    <row r="35" spans="3:14">
      <c r="C35" s="2" t="s">
        <v>353</v>
      </c>
      <c r="D35" s="449">
        <f>390150+1078650+1519290</f>
        <v>2988090</v>
      </c>
      <c r="E35" s="449">
        <f>+D35*0.5</f>
        <v>1494045</v>
      </c>
      <c r="F35" s="449">
        <f>D35-E35</f>
        <v>1494045</v>
      </c>
      <c r="H35" s="6"/>
      <c r="I35" s="412"/>
      <c r="J35" s="412"/>
      <c r="K35" s="412"/>
      <c r="L35" s="412"/>
      <c r="M35" s="6"/>
      <c r="N35" s="6"/>
    </row>
    <row r="36" spans="3:14" ht="12.75" thickBot="1">
      <c r="D36" s="450">
        <f>SUM(D22:D35)</f>
        <v>49272563</v>
      </c>
      <c r="E36" s="450">
        <f>SUM(E22:E35)</f>
        <v>9116143</v>
      </c>
      <c r="F36" s="450">
        <f>SUM(F22:F35)</f>
        <v>40156420</v>
      </c>
      <c r="H36" s="6"/>
      <c r="I36" s="412"/>
      <c r="J36" s="412"/>
      <c r="K36" s="412"/>
      <c r="L36" s="412"/>
      <c r="M36" s="6"/>
      <c r="N36" s="6"/>
    </row>
    <row r="37" spans="3:14" ht="12.75" thickTop="1">
      <c r="F37" s="2" t="s">
        <v>195</v>
      </c>
      <c r="H37" s="6"/>
      <c r="I37" s="6"/>
      <c r="J37" s="6"/>
      <c r="K37" s="6"/>
      <c r="L37" s="6"/>
      <c r="M37" s="6"/>
      <c r="N37" s="6"/>
    </row>
    <row r="38" spans="3:14" ht="14.25">
      <c r="C38" s="243" t="s">
        <v>374</v>
      </c>
      <c r="D38" s="243" t="s">
        <v>26</v>
      </c>
      <c r="E38" s="323" t="s">
        <v>88</v>
      </c>
      <c r="F38" s="243" t="s">
        <v>135</v>
      </c>
      <c r="H38" s="6"/>
      <c r="I38" s="6"/>
      <c r="J38" s="6"/>
      <c r="K38" s="6"/>
      <c r="L38" s="6"/>
      <c r="M38" s="6"/>
    </row>
    <row r="39" spans="3:14">
      <c r="C39" s="2" t="s">
        <v>373</v>
      </c>
      <c r="D39" s="449">
        <v>213750</v>
      </c>
      <c r="E39" s="449">
        <f>+D39*0.5</f>
        <v>106875</v>
      </c>
      <c r="F39" s="449">
        <f>D39-E39</f>
        <v>106875</v>
      </c>
      <c r="H39" s="6"/>
      <c r="I39" s="6"/>
      <c r="J39" s="6"/>
      <c r="K39" s="6"/>
      <c r="L39" s="6"/>
      <c r="M39" s="6"/>
    </row>
    <row r="41" spans="3:14" ht="14.25">
      <c r="C41" s="243" t="s">
        <v>199</v>
      </c>
      <c r="D41" s="243" t="s">
        <v>26</v>
      </c>
      <c r="E41" s="323" t="s">
        <v>88</v>
      </c>
      <c r="F41" s="243" t="s">
        <v>135</v>
      </c>
    </row>
    <row r="42" spans="3:14">
      <c r="C42" s="2" t="s">
        <v>200</v>
      </c>
      <c r="D42" s="449">
        <v>3710518</v>
      </c>
      <c r="E42" s="449">
        <v>185526</v>
      </c>
      <c r="F42" s="449">
        <f>D42-E42</f>
        <v>3524992</v>
      </c>
    </row>
    <row r="43" spans="3:14">
      <c r="C43" s="2" t="s">
        <v>201</v>
      </c>
      <c r="D43" s="449">
        <v>2593846</v>
      </c>
      <c r="E43" s="449">
        <v>258013</v>
      </c>
      <c r="F43" s="449">
        <f>D43-E43</f>
        <v>2335833</v>
      </c>
    </row>
    <row r="44" spans="3:14" ht="12.75" thickBot="1">
      <c r="D44" s="450">
        <f>SUM(D42:D43)</f>
        <v>6304364</v>
      </c>
      <c r="E44" s="450">
        <f>SUM(E42:E43)</f>
        <v>443539</v>
      </c>
      <c r="F44" s="450">
        <f>SUM(F42:F43)</f>
        <v>5860825</v>
      </c>
    </row>
    <row r="45" spans="3:14" ht="12.75" thickTop="1">
      <c r="D45" s="449"/>
      <c r="E45" s="449"/>
      <c r="F45" s="449"/>
    </row>
    <row r="46" spans="3:14" ht="14.25">
      <c r="C46" s="243" t="s">
        <v>221</v>
      </c>
      <c r="D46" s="323" t="s">
        <v>26</v>
      </c>
      <c r="E46" s="323" t="s">
        <v>88</v>
      </c>
      <c r="F46" s="323" t="s">
        <v>135</v>
      </c>
    </row>
    <row r="47" spans="3:14">
      <c r="C47" s="2" t="s">
        <v>222</v>
      </c>
      <c r="D47" s="449">
        <f>+D28</f>
        <v>1892731</v>
      </c>
      <c r="E47" s="449">
        <f>+E28</f>
        <v>61158</v>
      </c>
      <c r="F47" s="449">
        <f>+F28</f>
        <v>1831573</v>
      </c>
    </row>
    <row r="48" spans="3:14">
      <c r="C48" s="2" t="s">
        <v>238</v>
      </c>
      <c r="D48" s="449">
        <f>2234400+3092410+4379424</f>
        <v>9706234</v>
      </c>
      <c r="E48" s="449">
        <f>1117200+1546205+2189712</f>
        <v>4853117</v>
      </c>
      <c r="F48" s="449">
        <f>+D48-E48</f>
        <v>4853117</v>
      </c>
    </row>
    <row r="49" spans="3:6">
      <c r="C49" s="2" t="s">
        <v>223</v>
      </c>
      <c r="D49" s="449">
        <v>6500000</v>
      </c>
      <c r="E49" s="449">
        <v>542439</v>
      </c>
      <c r="F49" s="449">
        <f>+D49-E49</f>
        <v>5957561</v>
      </c>
    </row>
    <row r="50" spans="3:6" ht="12.75" thickBot="1">
      <c r="D50" s="450">
        <f>SUM(D47:D49)</f>
        <v>18098965</v>
      </c>
      <c r="E50" s="450">
        <f>SUM(E47:E49)</f>
        <v>5456714</v>
      </c>
      <c r="F50" s="450">
        <f>SUM(F47:F49)</f>
        <v>12642251</v>
      </c>
    </row>
    <row r="51" spans="3:6" ht="12.75" thickTop="1"/>
  </sheetData>
  <mergeCells count="6">
    <mergeCell ref="D8:E8"/>
    <mergeCell ref="A4:H4"/>
    <mergeCell ref="A1:H1"/>
    <mergeCell ref="A2:H2"/>
    <mergeCell ref="A3:H3"/>
    <mergeCell ref="A7:H7"/>
  </mergeCells>
  <printOptions horizontalCentered="1"/>
  <pageMargins left="0.75" right="0.75" top="1" bottom="1" header="0.5" footer="0.5"/>
  <pageSetup scale="75" orientation="landscape" r:id="rId1"/>
  <headerFooter alignWithMargins="0">
    <oddFooter>&amp;L&amp;9&amp;D
&amp;F
&amp;A</oddFooter>
  </headerFooter>
  <rowBreaks count="1" manualBreakCount="1">
    <brk id="19"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Q34"/>
  <sheetViews>
    <sheetView zoomScaleNormal="100" workbookViewId="0">
      <selection sqref="A1:O1"/>
    </sheetView>
  </sheetViews>
  <sheetFormatPr defaultRowHeight="12"/>
  <cols>
    <col min="1" max="1" width="4.85546875" style="2" customWidth="1"/>
    <col min="2" max="2" width="16.5703125" style="2" customWidth="1"/>
    <col min="3" max="3" width="20.85546875" style="2" customWidth="1"/>
    <col min="4" max="12" width="11.85546875" style="2" customWidth="1"/>
    <col min="13" max="13" width="13.5703125" style="2" bestFit="1" customWidth="1"/>
    <col min="14" max="14" width="12.28515625" style="2" bestFit="1" customWidth="1"/>
    <col min="15" max="15" width="10.5703125" style="2" customWidth="1"/>
    <col min="16" max="16" width="12.42578125" style="2" customWidth="1"/>
    <col min="17" max="17" width="10.85546875" style="2" customWidth="1"/>
    <col min="18" max="23" width="8.85546875" style="2" customWidth="1"/>
    <col min="24" max="16384" width="9.140625" style="2"/>
  </cols>
  <sheetData>
    <row r="1" spans="1:17" s="13" customFormat="1" ht="15.75">
      <c r="A1" s="610" t="s">
        <v>193</v>
      </c>
      <c r="B1" s="610"/>
      <c r="C1" s="610"/>
      <c r="D1" s="610"/>
      <c r="E1" s="610"/>
      <c r="F1" s="610"/>
      <c r="G1" s="610"/>
      <c r="H1" s="610"/>
      <c r="I1" s="610"/>
      <c r="J1" s="610"/>
      <c r="K1" s="610"/>
      <c r="L1" s="610"/>
      <c r="M1" s="610"/>
      <c r="N1" s="610"/>
      <c r="O1" s="610"/>
    </row>
    <row r="2" spans="1:17" s="13" customFormat="1" ht="15.75">
      <c r="A2" s="610" t="s">
        <v>35</v>
      </c>
      <c r="B2" s="610"/>
      <c r="C2" s="610"/>
      <c r="D2" s="610"/>
      <c r="E2" s="610"/>
      <c r="F2" s="610"/>
      <c r="G2" s="610"/>
      <c r="H2" s="610"/>
      <c r="I2" s="610"/>
      <c r="J2" s="610"/>
      <c r="K2" s="610"/>
      <c r="L2" s="610"/>
      <c r="M2" s="610"/>
      <c r="N2" s="610"/>
      <c r="O2" s="610"/>
    </row>
    <row r="3" spans="1:17" s="13" customFormat="1" ht="15.75">
      <c r="A3" s="610" t="s">
        <v>361</v>
      </c>
      <c r="B3" s="610"/>
      <c r="C3" s="610"/>
      <c r="D3" s="610"/>
      <c r="E3" s="610"/>
      <c r="F3" s="610"/>
      <c r="G3" s="610"/>
      <c r="H3" s="610"/>
      <c r="I3" s="610"/>
      <c r="J3" s="610"/>
      <c r="K3" s="610"/>
      <c r="L3" s="610"/>
      <c r="M3" s="610"/>
      <c r="N3" s="610"/>
      <c r="O3" s="610"/>
    </row>
    <row r="4" spans="1:17">
      <c r="A4" s="631"/>
      <c r="B4" s="631"/>
      <c r="C4" s="631"/>
      <c r="D4" s="631"/>
      <c r="E4" s="631"/>
      <c r="F4" s="631"/>
      <c r="G4" s="631"/>
      <c r="H4" s="631"/>
      <c r="I4" s="631"/>
      <c r="J4" s="631"/>
      <c r="K4" s="631"/>
      <c r="L4" s="631"/>
      <c r="M4" s="631"/>
      <c r="N4" s="631"/>
      <c r="O4" s="631"/>
    </row>
    <row r="5" spans="1:17">
      <c r="A5" s="90"/>
      <c r="B5" s="89"/>
      <c r="C5" s="89"/>
      <c r="D5" s="89"/>
      <c r="E5" s="89"/>
      <c r="F5" s="89"/>
      <c r="G5" s="89"/>
      <c r="H5" s="89"/>
      <c r="I5" s="89"/>
      <c r="J5" s="89"/>
      <c r="K5" s="89"/>
      <c r="L5" s="89"/>
      <c r="M5" s="89"/>
      <c r="N5" s="89"/>
      <c r="O5" s="89"/>
    </row>
    <row r="6" spans="1:17">
      <c r="A6" s="634"/>
      <c r="B6" s="634"/>
      <c r="C6" s="634"/>
      <c r="D6" s="634"/>
      <c r="E6" s="634"/>
      <c r="F6" s="634"/>
      <c r="G6" s="634"/>
      <c r="H6" s="634"/>
      <c r="I6" s="634"/>
      <c r="J6" s="634"/>
      <c r="K6" s="634"/>
      <c r="L6" s="634"/>
      <c r="M6" s="634"/>
      <c r="N6" s="6"/>
      <c r="O6" s="6"/>
    </row>
    <row r="7" spans="1:17" ht="15.75" customHeight="1">
      <c r="A7" s="83"/>
      <c r="B7" s="84"/>
      <c r="C7" s="84"/>
      <c r="D7" s="629" t="s">
        <v>360</v>
      </c>
      <c r="E7" s="630"/>
      <c r="F7" s="630"/>
      <c r="G7" s="630"/>
      <c r="H7" s="630"/>
      <c r="I7" s="630"/>
      <c r="J7" s="630"/>
      <c r="K7" s="630"/>
      <c r="L7" s="635"/>
      <c r="M7" s="93"/>
      <c r="N7" s="93"/>
      <c r="O7" s="93"/>
    </row>
    <row r="8" spans="1:17" s="1" customFormat="1" ht="40.5" customHeight="1">
      <c r="A8" s="86" t="s">
        <v>29</v>
      </c>
      <c r="B8" s="87"/>
      <c r="C8" s="87"/>
      <c r="D8" s="369" t="s">
        <v>356</v>
      </c>
      <c r="E8" s="368" t="s">
        <v>357</v>
      </c>
      <c r="F8" s="368" t="s">
        <v>358</v>
      </c>
      <c r="G8" s="368" t="s">
        <v>359</v>
      </c>
      <c r="H8" s="368" t="s">
        <v>289</v>
      </c>
      <c r="I8" s="368" t="s">
        <v>246</v>
      </c>
      <c r="J8" s="368" t="s">
        <v>247</v>
      </c>
      <c r="K8" s="368" t="s">
        <v>240</v>
      </c>
      <c r="L8" s="91" t="s">
        <v>62</v>
      </c>
      <c r="M8" s="352" t="s">
        <v>340</v>
      </c>
      <c r="N8" s="94" t="s">
        <v>327</v>
      </c>
      <c r="O8" s="351" t="s">
        <v>328</v>
      </c>
      <c r="P8" s="76"/>
      <c r="Q8" s="76"/>
    </row>
    <row r="9" spans="1:17" ht="15" customHeight="1">
      <c r="A9" s="34" t="s">
        <v>11</v>
      </c>
      <c r="B9" s="7"/>
      <c r="C9" s="7"/>
      <c r="D9" s="435">
        <v>810101.02105136169</v>
      </c>
      <c r="E9" s="411">
        <v>22500</v>
      </c>
      <c r="F9" s="411"/>
      <c r="G9" s="411">
        <f>SUM(D9:F9)</f>
        <v>832601.02105136169</v>
      </c>
      <c r="H9" s="411">
        <v>0</v>
      </c>
      <c r="I9" s="411">
        <v>0</v>
      </c>
      <c r="J9" s="411">
        <v>0</v>
      </c>
      <c r="K9" s="411">
        <v>78795</v>
      </c>
      <c r="L9" s="411">
        <v>3950</v>
      </c>
      <c r="M9" s="436">
        <f>SUM(G9:L9)</f>
        <v>915346.02105136169</v>
      </c>
      <c r="N9" s="436">
        <v>921666.02105136169</v>
      </c>
      <c r="O9" s="436">
        <f>M9-N9</f>
        <v>-6320</v>
      </c>
    </row>
    <row r="10" spans="1:17" ht="15" customHeight="1">
      <c r="A10" s="34" t="s">
        <v>379</v>
      </c>
      <c r="B10" s="7"/>
      <c r="C10" s="7"/>
      <c r="D10" s="439">
        <v>3612</v>
      </c>
      <c r="E10" s="412"/>
      <c r="F10" s="412"/>
      <c r="G10" s="412">
        <f t="shared" ref="G10:G25" si="0">SUM(D10:F10)</f>
        <v>3612</v>
      </c>
      <c r="H10" s="412">
        <v>0</v>
      </c>
      <c r="I10" s="412">
        <v>0</v>
      </c>
      <c r="J10" s="412">
        <v>0</v>
      </c>
      <c r="K10" s="412">
        <v>0</v>
      </c>
      <c r="L10" s="412">
        <v>0</v>
      </c>
      <c r="M10" s="425">
        <f>SUM(G10:L10)</f>
        <v>3612</v>
      </c>
      <c r="N10" s="425">
        <v>3612</v>
      </c>
      <c r="O10" s="425">
        <f t="shared" ref="O10:O25" si="1">M10-N10</f>
        <v>0</v>
      </c>
    </row>
    <row r="11" spans="1:17" ht="15" customHeight="1">
      <c r="A11" s="34" t="s">
        <v>13</v>
      </c>
      <c r="B11" s="7"/>
      <c r="C11" s="7"/>
      <c r="D11" s="439">
        <v>2225797.4304735749</v>
      </c>
      <c r="E11" s="412"/>
      <c r="F11" s="412"/>
      <c r="G11" s="412">
        <f t="shared" si="0"/>
        <v>2225797.4304735749</v>
      </c>
      <c r="H11" s="412">
        <v>0</v>
      </c>
      <c r="I11" s="412">
        <v>0</v>
      </c>
      <c r="J11" s="412">
        <v>0</v>
      </c>
      <c r="K11" s="412">
        <v>0</v>
      </c>
      <c r="L11" s="412">
        <v>154050</v>
      </c>
      <c r="M11" s="425">
        <f t="shared" ref="M11:M25" si="2">SUM(G11:L11)</f>
        <v>2379847.4304735749</v>
      </c>
      <c r="N11" s="425">
        <v>2424087.4304735749</v>
      </c>
      <c r="O11" s="425">
        <f t="shared" si="1"/>
        <v>-44240</v>
      </c>
    </row>
    <row r="12" spans="1:17" ht="15" customHeight="1">
      <c r="A12" s="34" t="s">
        <v>14</v>
      </c>
      <c r="B12" s="7"/>
      <c r="C12" s="7"/>
      <c r="D12" s="439">
        <v>1800000</v>
      </c>
      <c r="E12" s="412"/>
      <c r="F12" s="412"/>
      <c r="G12" s="412">
        <f t="shared" si="0"/>
        <v>1800000</v>
      </c>
      <c r="H12" s="412">
        <v>0</v>
      </c>
      <c r="I12" s="412">
        <v>0</v>
      </c>
      <c r="J12" s="412">
        <v>0</v>
      </c>
      <c r="K12" s="412">
        <v>0</v>
      </c>
      <c r="L12" s="412">
        <v>0</v>
      </c>
      <c r="M12" s="425">
        <f t="shared" si="2"/>
        <v>1800000</v>
      </c>
      <c r="N12" s="425">
        <v>1853134.3899999997</v>
      </c>
      <c r="O12" s="425">
        <f t="shared" si="1"/>
        <v>-53134.389999999665</v>
      </c>
    </row>
    <row r="13" spans="1:17" ht="15" customHeight="1">
      <c r="A13" s="34" t="s">
        <v>15</v>
      </c>
      <c r="B13" s="7"/>
      <c r="C13" s="7"/>
      <c r="D13" s="439">
        <v>17574.8</v>
      </c>
      <c r="E13" s="412"/>
      <c r="F13" s="412"/>
      <c r="G13" s="412">
        <f t="shared" si="0"/>
        <v>17574.8</v>
      </c>
      <c r="H13" s="412">
        <v>0</v>
      </c>
      <c r="I13" s="412">
        <v>0</v>
      </c>
      <c r="J13" s="412">
        <v>0</v>
      </c>
      <c r="K13" s="412">
        <v>0</v>
      </c>
      <c r="L13" s="412">
        <v>33970</v>
      </c>
      <c r="M13" s="425">
        <f t="shared" si="2"/>
        <v>51544.800000000003</v>
      </c>
      <c r="N13" s="425">
        <v>47594.8</v>
      </c>
      <c r="O13" s="425">
        <f t="shared" si="1"/>
        <v>3950</v>
      </c>
    </row>
    <row r="14" spans="1:17" ht="15" customHeight="1">
      <c r="A14" s="34" t="s">
        <v>16</v>
      </c>
      <c r="B14" s="7"/>
      <c r="C14" s="7"/>
      <c r="D14" s="439">
        <v>386748</v>
      </c>
      <c r="E14" s="412"/>
      <c r="F14" s="412"/>
      <c r="G14" s="412">
        <f t="shared" si="0"/>
        <v>386748</v>
      </c>
      <c r="H14" s="412">
        <v>0</v>
      </c>
      <c r="I14" s="412">
        <v>0</v>
      </c>
      <c r="J14" s="412">
        <v>0</v>
      </c>
      <c r="K14" s="412">
        <v>0</v>
      </c>
      <c r="L14" s="412">
        <v>0</v>
      </c>
      <c r="M14" s="425">
        <f t="shared" si="2"/>
        <v>386748</v>
      </c>
      <c r="N14" s="425">
        <v>386748</v>
      </c>
      <c r="O14" s="425">
        <f t="shared" si="1"/>
        <v>0</v>
      </c>
    </row>
    <row r="15" spans="1:17" ht="15" customHeight="1">
      <c r="A15" s="34" t="s">
        <v>17</v>
      </c>
      <c r="B15" s="7"/>
      <c r="C15" s="7"/>
      <c r="D15" s="439"/>
      <c r="E15" s="412"/>
      <c r="F15" s="412"/>
      <c r="G15" s="412">
        <f t="shared" si="0"/>
        <v>0</v>
      </c>
      <c r="H15" s="412">
        <v>255000</v>
      </c>
      <c r="I15" s="412">
        <v>0</v>
      </c>
      <c r="J15" s="412">
        <v>0</v>
      </c>
      <c r="K15" s="412">
        <v>0</v>
      </c>
      <c r="L15" s="412">
        <v>0</v>
      </c>
      <c r="M15" s="425">
        <f t="shared" si="2"/>
        <v>255000</v>
      </c>
      <c r="N15" s="425">
        <v>271350</v>
      </c>
      <c r="O15" s="425">
        <f t="shared" si="1"/>
        <v>-16350</v>
      </c>
    </row>
    <row r="16" spans="1:17" ht="15" customHeight="1">
      <c r="A16" s="34" t="s">
        <v>18</v>
      </c>
      <c r="B16" s="7"/>
      <c r="C16" s="7"/>
      <c r="D16" s="439">
        <v>1931446.1797225596</v>
      </c>
      <c r="E16" s="412">
        <v>105991</v>
      </c>
      <c r="F16" s="412"/>
      <c r="G16" s="412">
        <f t="shared" si="0"/>
        <v>2037437.1797225596</v>
      </c>
      <c r="H16" s="412">
        <v>0</v>
      </c>
      <c r="I16" s="412">
        <v>160350</v>
      </c>
      <c r="J16" s="412">
        <v>119700</v>
      </c>
      <c r="K16" s="412">
        <v>16000</v>
      </c>
      <c r="L16" s="412">
        <v>1580</v>
      </c>
      <c r="M16" s="425">
        <f t="shared" si="2"/>
        <v>2335067.1797225596</v>
      </c>
      <c r="N16" s="425">
        <v>2333487.1797225596</v>
      </c>
      <c r="O16" s="425">
        <f t="shared" si="1"/>
        <v>1580</v>
      </c>
    </row>
    <row r="17" spans="1:15" ht="15" customHeight="1">
      <c r="A17" s="34" t="s">
        <v>19</v>
      </c>
      <c r="B17" s="7"/>
      <c r="C17" s="7"/>
      <c r="D17" s="439"/>
      <c r="E17" s="412"/>
      <c r="F17" s="412"/>
      <c r="G17" s="412">
        <f t="shared" si="0"/>
        <v>0</v>
      </c>
      <c r="H17" s="412">
        <v>0</v>
      </c>
      <c r="I17" s="412">
        <v>0</v>
      </c>
      <c r="J17" s="412">
        <v>0</v>
      </c>
      <c r="K17" s="412">
        <v>0</v>
      </c>
      <c r="L17" s="412">
        <v>0</v>
      </c>
      <c r="M17" s="425">
        <f t="shared" si="2"/>
        <v>0</v>
      </c>
      <c r="N17" s="425">
        <v>0</v>
      </c>
      <c r="O17" s="425">
        <f t="shared" si="1"/>
        <v>0</v>
      </c>
    </row>
    <row r="18" spans="1:15" ht="15" customHeight="1">
      <c r="A18" s="34" t="s">
        <v>20</v>
      </c>
      <c r="B18" s="7"/>
      <c r="C18" s="7"/>
      <c r="D18" s="439">
        <v>456080.27073066204</v>
      </c>
      <c r="E18" s="412"/>
      <c r="F18" s="412"/>
      <c r="G18" s="412">
        <f t="shared" si="0"/>
        <v>456080.27073066204</v>
      </c>
      <c r="H18" s="412">
        <v>0</v>
      </c>
      <c r="I18" s="412">
        <v>0</v>
      </c>
      <c r="J18" s="412">
        <v>0</v>
      </c>
      <c r="K18" s="412">
        <v>0</v>
      </c>
      <c r="L18" s="412">
        <v>3160</v>
      </c>
      <c r="M18" s="425">
        <f t="shared" si="2"/>
        <v>459240.27073066204</v>
      </c>
      <c r="N18" s="425">
        <v>488470.27073066204</v>
      </c>
      <c r="O18" s="425">
        <f t="shared" si="1"/>
        <v>-29230</v>
      </c>
    </row>
    <row r="19" spans="1:15" ht="15" customHeight="1">
      <c r="A19" s="34" t="s">
        <v>21</v>
      </c>
      <c r="B19" s="7"/>
      <c r="C19" s="7"/>
      <c r="D19" s="439"/>
      <c r="E19" s="412"/>
      <c r="F19" s="412"/>
      <c r="G19" s="412">
        <f t="shared" si="0"/>
        <v>0</v>
      </c>
      <c r="H19" s="412">
        <v>0</v>
      </c>
      <c r="I19" s="412">
        <v>0</v>
      </c>
      <c r="J19" s="412">
        <v>0</v>
      </c>
      <c r="K19" s="412">
        <v>0</v>
      </c>
      <c r="L19" s="412">
        <v>0</v>
      </c>
      <c r="M19" s="425">
        <f t="shared" si="2"/>
        <v>0</v>
      </c>
      <c r="N19" s="425">
        <v>0</v>
      </c>
      <c r="O19" s="425">
        <f t="shared" si="1"/>
        <v>0</v>
      </c>
    </row>
    <row r="20" spans="1:15" ht="15" customHeight="1">
      <c r="A20" s="34" t="s">
        <v>22</v>
      </c>
      <c r="B20" s="7"/>
      <c r="C20" s="7"/>
      <c r="D20" s="439"/>
      <c r="E20" s="412"/>
      <c r="F20" s="412"/>
      <c r="G20" s="412">
        <f t="shared" si="0"/>
        <v>0</v>
      </c>
      <c r="H20" s="412">
        <v>0</v>
      </c>
      <c r="I20" s="412">
        <v>0</v>
      </c>
      <c r="J20" s="412">
        <v>0</v>
      </c>
      <c r="K20" s="412">
        <v>0</v>
      </c>
      <c r="L20" s="412">
        <v>0</v>
      </c>
      <c r="M20" s="425">
        <f t="shared" si="2"/>
        <v>0</v>
      </c>
      <c r="N20" s="425">
        <v>0</v>
      </c>
      <c r="O20" s="425">
        <f t="shared" si="1"/>
        <v>0</v>
      </c>
    </row>
    <row r="21" spans="1:15" ht="15" customHeight="1">
      <c r="A21" s="34" t="s">
        <v>23</v>
      </c>
      <c r="B21" s="7"/>
      <c r="C21" s="7"/>
      <c r="D21" s="439"/>
      <c r="E21" s="412"/>
      <c r="F21" s="412"/>
      <c r="G21" s="412">
        <f t="shared" si="0"/>
        <v>0</v>
      </c>
      <c r="H21" s="412">
        <v>0</v>
      </c>
      <c r="I21" s="412">
        <v>0</v>
      </c>
      <c r="J21" s="412">
        <v>0</v>
      </c>
      <c r="K21" s="412">
        <v>0</v>
      </c>
      <c r="L21" s="412">
        <v>0</v>
      </c>
      <c r="M21" s="425">
        <f t="shared" si="2"/>
        <v>0</v>
      </c>
      <c r="N21" s="425">
        <v>0</v>
      </c>
      <c r="O21" s="425">
        <f t="shared" si="1"/>
        <v>0</v>
      </c>
    </row>
    <row r="22" spans="1:15" ht="15" customHeight="1">
      <c r="A22" s="34" t="s">
        <v>24</v>
      </c>
      <c r="B22" s="7"/>
      <c r="C22" s="7"/>
      <c r="D22" s="439">
        <v>609000</v>
      </c>
      <c r="E22" s="412"/>
      <c r="F22" s="412"/>
      <c r="G22" s="412">
        <f t="shared" si="0"/>
        <v>609000</v>
      </c>
      <c r="H22" s="412">
        <v>0</v>
      </c>
      <c r="I22" s="412">
        <v>0</v>
      </c>
      <c r="J22" s="412">
        <v>0</v>
      </c>
      <c r="K22" s="412">
        <v>0</v>
      </c>
      <c r="L22" s="412">
        <v>0</v>
      </c>
      <c r="M22" s="425">
        <f t="shared" si="2"/>
        <v>609000</v>
      </c>
      <c r="N22" s="425">
        <v>657589.23043562367</v>
      </c>
      <c r="O22" s="425">
        <f t="shared" si="1"/>
        <v>-48589.230435623671</v>
      </c>
    </row>
    <row r="23" spans="1:15" ht="15" customHeight="1">
      <c r="A23" s="34" t="s">
        <v>25</v>
      </c>
      <c r="B23" s="7"/>
      <c r="C23" s="7"/>
      <c r="D23" s="439">
        <v>1140101.6107899807</v>
      </c>
      <c r="E23" s="412"/>
      <c r="F23" s="412"/>
      <c r="G23" s="412">
        <f t="shared" si="0"/>
        <v>1140101.6107899807</v>
      </c>
      <c r="H23" s="412">
        <v>0</v>
      </c>
      <c r="I23" s="412">
        <v>0</v>
      </c>
      <c r="J23" s="412">
        <v>0</v>
      </c>
      <c r="K23" s="412">
        <v>82500</v>
      </c>
      <c r="L23" s="412">
        <v>0</v>
      </c>
      <c r="M23" s="425">
        <f t="shared" si="2"/>
        <v>1222601.6107899807</v>
      </c>
      <c r="N23" s="425">
        <v>1222601.6107899807</v>
      </c>
      <c r="O23" s="425">
        <f t="shared" si="1"/>
        <v>0</v>
      </c>
    </row>
    <row r="24" spans="1:15" ht="15" customHeight="1">
      <c r="A24" s="34" t="s">
        <v>211</v>
      </c>
      <c r="B24" s="7"/>
      <c r="C24" s="7"/>
      <c r="D24" s="433"/>
      <c r="E24" s="412"/>
      <c r="F24" s="412">
        <v>0</v>
      </c>
      <c r="G24" s="412">
        <f t="shared" si="0"/>
        <v>0</v>
      </c>
      <c r="H24" s="412">
        <v>0</v>
      </c>
      <c r="I24" s="412">
        <v>0</v>
      </c>
      <c r="J24" s="412">
        <v>0</v>
      </c>
      <c r="K24" s="412">
        <v>0</v>
      </c>
      <c r="L24" s="412">
        <v>0</v>
      </c>
      <c r="M24" s="425">
        <f t="shared" si="2"/>
        <v>0</v>
      </c>
      <c r="N24" s="440">
        <v>1339088.3399999999</v>
      </c>
      <c r="O24" s="425">
        <f t="shared" si="1"/>
        <v>-1339088.3399999999</v>
      </c>
    </row>
    <row r="25" spans="1:15" ht="15" customHeight="1">
      <c r="A25" s="35" t="s">
        <v>287</v>
      </c>
      <c r="B25" s="8"/>
      <c r="C25" s="8"/>
      <c r="D25" s="444">
        <v>3341197.0791808874</v>
      </c>
      <c r="E25" s="413"/>
      <c r="F25" s="413"/>
      <c r="G25" s="413">
        <f t="shared" si="0"/>
        <v>3341197.0791808874</v>
      </c>
      <c r="H25" s="413">
        <v>0</v>
      </c>
      <c r="I25" s="413">
        <v>0</v>
      </c>
      <c r="J25" s="413">
        <v>0</v>
      </c>
      <c r="K25" s="413">
        <v>0</v>
      </c>
      <c r="L25" s="413">
        <v>3950</v>
      </c>
      <c r="M25" s="425">
        <f t="shared" si="2"/>
        <v>3345147.0791808874</v>
      </c>
      <c r="N25" s="425">
        <v>3347517.0791808874</v>
      </c>
      <c r="O25" s="445">
        <f t="shared" si="1"/>
        <v>-2370</v>
      </c>
    </row>
    <row r="26" spans="1:15" ht="22.5" customHeight="1">
      <c r="A26" s="37"/>
      <c r="B26" s="38"/>
      <c r="C26" s="38" t="s">
        <v>2</v>
      </c>
      <c r="D26" s="451">
        <f>SUM(D9:D25)</f>
        <v>12721658.391949026</v>
      </c>
      <c r="E26" s="452">
        <f>SUM(E9:E25)</f>
        <v>128491</v>
      </c>
      <c r="F26" s="452">
        <f t="shared" ref="F26:L26" si="3">SUM(F9:F25)</f>
        <v>0</v>
      </c>
      <c r="G26" s="452">
        <f t="shared" si="3"/>
        <v>12850149.391949026</v>
      </c>
      <c r="H26" s="452">
        <f t="shared" si="3"/>
        <v>255000</v>
      </c>
      <c r="I26" s="452">
        <f t="shared" si="3"/>
        <v>160350</v>
      </c>
      <c r="J26" s="452">
        <f>SUM(J9:J25)</f>
        <v>119700</v>
      </c>
      <c r="K26" s="452">
        <f t="shared" si="3"/>
        <v>177295</v>
      </c>
      <c r="L26" s="452">
        <f t="shared" si="3"/>
        <v>200660</v>
      </c>
      <c r="M26" s="380">
        <f>SUM(M9:M25)</f>
        <v>13763154.391949026</v>
      </c>
      <c r="N26" s="380">
        <f>SUM(N9:N25)</f>
        <v>15296946.352384647</v>
      </c>
      <c r="O26" s="453">
        <f>SUM(O9:O25)</f>
        <v>-1533791.9604356233</v>
      </c>
    </row>
    <row r="27" spans="1:15" ht="16.5" customHeight="1">
      <c r="D27" s="375"/>
      <c r="E27" s="377"/>
      <c r="F27" s="376"/>
      <c r="G27" s="375"/>
      <c r="H27" s="375"/>
      <c r="I27" s="375"/>
      <c r="J27" s="375"/>
      <c r="K27" s="375"/>
      <c r="L27" s="374"/>
      <c r="M27" s="374"/>
      <c r="N27" s="375"/>
      <c r="O27" s="375"/>
    </row>
    <row r="29" spans="1:15">
      <c r="L29" s="81"/>
    </row>
    <row r="30" spans="1:15">
      <c r="L30" s="81"/>
    </row>
    <row r="31" spans="1:15">
      <c r="L31" s="81"/>
    </row>
    <row r="34" spans="5:5">
      <c r="E34" s="77"/>
    </row>
  </sheetData>
  <mergeCells count="6">
    <mergeCell ref="A6:M6"/>
    <mergeCell ref="D7:L7"/>
    <mergeCell ref="A1:O1"/>
    <mergeCell ref="A2:O2"/>
    <mergeCell ref="A3:O3"/>
    <mergeCell ref="A4:O4"/>
  </mergeCells>
  <printOptions horizontalCentered="1"/>
  <pageMargins left="0.75" right="0.75" top="1" bottom="1" header="0.5" footer="0.5"/>
  <pageSetup scale="58" orientation="landscape" r:id="rId1"/>
  <headerFooter alignWithMargins="0">
    <oddFooter>&amp;L&amp;9&amp;D
&amp;F
&amp;A</oddFooter>
  </headerFooter>
  <rowBreaks count="1" manualBreakCount="1">
    <brk id="26" max="1638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filterMode="1">
    <pageSetUpPr fitToPage="1"/>
  </sheetPr>
  <dimension ref="A1:IV87"/>
  <sheetViews>
    <sheetView topLeftCell="A2" zoomScaleNormal="100" workbookViewId="0">
      <pane xSplit="3" ySplit="7" topLeftCell="G9" activePane="bottomRight" state="frozen"/>
      <selection activeCell="AB26" sqref="AB26"/>
      <selection pane="topRight" activeCell="AB26" sqref="AB26"/>
      <selection pane="bottomLeft" activeCell="AB26" sqref="AB26"/>
      <selection pane="bottomRight" activeCell="A2" sqref="A2:X2"/>
    </sheetView>
  </sheetViews>
  <sheetFormatPr defaultRowHeight="12"/>
  <cols>
    <col min="1" max="1" width="4.85546875" style="2" customWidth="1"/>
    <col min="2" max="2" width="5.140625" style="2" customWidth="1"/>
    <col min="3" max="3" width="35.28515625" style="2" customWidth="1"/>
    <col min="4" max="7" width="11.85546875" style="2" customWidth="1"/>
    <col min="8" max="8" width="12.42578125" style="2" bestFit="1" customWidth="1"/>
    <col min="9" max="9" width="11.85546875" style="2" customWidth="1"/>
    <col min="10" max="10" width="12.140625" style="2" customWidth="1"/>
    <col min="11" max="11" width="1.140625" style="6" customWidth="1"/>
    <col min="12" max="12" width="11" style="2" customWidth="1"/>
    <col min="13" max="13" width="11.28515625" style="2" customWidth="1"/>
    <col min="14" max="14" width="10.85546875" style="2" customWidth="1"/>
    <col min="15" max="15" width="1.140625" style="6" customWidth="1"/>
    <col min="16" max="18" width="11.28515625" style="2" customWidth="1"/>
    <col min="19" max="19" width="13.85546875" style="2" customWidth="1"/>
    <col min="20" max="20" width="13.140625" style="2" customWidth="1"/>
    <col min="21" max="21" width="3.28515625" style="6" customWidth="1"/>
    <col min="22" max="22" width="9.140625" style="2" bestFit="1" customWidth="1"/>
    <col min="23" max="23" width="1.28515625" style="6" customWidth="1"/>
    <col min="24" max="24" width="14.5703125" style="2" bestFit="1" customWidth="1"/>
    <col min="25" max="25" width="1.28515625" style="2" customWidth="1"/>
    <col min="26" max="26" width="12.85546875" style="2" bestFit="1" customWidth="1"/>
    <col min="27" max="27" width="1" style="2" customWidth="1"/>
    <col min="28" max="28" width="14.5703125" style="2" bestFit="1" customWidth="1"/>
    <col min="29" max="29" width="11" style="2" hidden="1" customWidth="1"/>
    <col min="30" max="30" width="13.5703125" style="2" bestFit="1" customWidth="1"/>
    <col min="31" max="31" width="14.140625" style="2" bestFit="1" customWidth="1"/>
    <col min="32" max="16384" width="9.140625" style="2"/>
  </cols>
  <sheetData>
    <row r="1" spans="1:30" s="13" customFormat="1" ht="15.75" hidden="1">
      <c r="A1" s="610" t="s">
        <v>128</v>
      </c>
      <c r="B1" s="610"/>
      <c r="C1" s="610"/>
      <c r="D1" s="610"/>
      <c r="E1" s="610"/>
      <c r="F1" s="610"/>
      <c r="G1" s="610"/>
      <c r="H1" s="610"/>
      <c r="I1" s="610"/>
      <c r="J1" s="610"/>
      <c r="K1" s="610"/>
      <c r="L1" s="610"/>
      <c r="M1" s="610"/>
      <c r="N1" s="610"/>
      <c r="O1" s="610"/>
      <c r="P1" s="610"/>
      <c r="Q1" s="610"/>
      <c r="R1" s="610"/>
      <c r="S1" s="610"/>
      <c r="T1" s="610"/>
      <c r="U1" s="610"/>
      <c r="V1" s="610"/>
      <c r="W1" s="610"/>
      <c r="X1" s="610"/>
    </row>
    <row r="2" spans="1:30" s="13" customFormat="1" ht="15.75">
      <c r="A2" s="610" t="s">
        <v>35</v>
      </c>
      <c r="B2" s="610"/>
      <c r="C2" s="610"/>
      <c r="D2" s="610"/>
      <c r="E2" s="610"/>
      <c r="F2" s="610"/>
      <c r="G2" s="610"/>
      <c r="H2" s="610"/>
      <c r="I2" s="610"/>
      <c r="J2" s="610"/>
      <c r="K2" s="610"/>
      <c r="L2" s="610"/>
      <c r="M2" s="610"/>
      <c r="N2" s="610"/>
      <c r="O2" s="610"/>
      <c r="P2" s="610"/>
      <c r="Q2" s="610"/>
      <c r="R2" s="610"/>
      <c r="S2" s="610"/>
      <c r="T2" s="610"/>
      <c r="U2" s="610"/>
      <c r="V2" s="610"/>
      <c r="W2" s="610"/>
      <c r="X2" s="610"/>
    </row>
    <row r="3" spans="1:30" s="13" customFormat="1" ht="15.75">
      <c r="A3" s="610" t="s">
        <v>372</v>
      </c>
      <c r="B3" s="610"/>
      <c r="C3" s="610"/>
      <c r="D3" s="610"/>
      <c r="E3" s="610"/>
      <c r="F3" s="610"/>
      <c r="G3" s="610"/>
      <c r="H3" s="610"/>
      <c r="I3" s="610"/>
      <c r="J3" s="610"/>
      <c r="K3" s="610"/>
      <c r="L3" s="610"/>
      <c r="M3" s="610"/>
      <c r="N3" s="610"/>
      <c r="O3" s="610"/>
      <c r="P3" s="610"/>
      <c r="Q3" s="610"/>
      <c r="R3" s="610"/>
      <c r="S3" s="610"/>
      <c r="T3" s="610"/>
      <c r="U3" s="610"/>
      <c r="V3" s="610"/>
      <c r="W3" s="610"/>
      <c r="X3" s="610"/>
    </row>
    <row r="4" spans="1:30">
      <c r="A4" s="631"/>
      <c r="B4" s="631"/>
      <c r="C4" s="631"/>
      <c r="D4" s="631"/>
      <c r="E4" s="631"/>
      <c r="F4" s="631"/>
      <c r="G4" s="631"/>
      <c r="H4" s="631"/>
      <c r="I4" s="631"/>
      <c r="J4" s="631"/>
      <c r="K4" s="631"/>
      <c r="L4" s="631"/>
      <c r="M4" s="631"/>
      <c r="N4" s="631"/>
      <c r="O4" s="631"/>
      <c r="P4" s="631"/>
      <c r="Q4" s="631"/>
      <c r="R4" s="631"/>
      <c r="S4" s="631"/>
      <c r="T4" s="631"/>
      <c r="U4" s="631"/>
      <c r="V4" s="631"/>
      <c r="W4" s="631"/>
      <c r="X4" s="631"/>
    </row>
    <row r="5" spans="1:30" hidden="1">
      <c r="A5" s="90"/>
      <c r="B5" s="89"/>
      <c r="C5" s="89"/>
      <c r="D5" s="89"/>
      <c r="E5" s="89"/>
      <c r="F5" s="89"/>
      <c r="G5" s="89"/>
      <c r="H5" s="89"/>
      <c r="I5" s="89"/>
      <c r="J5" s="89"/>
      <c r="Z5" s="1"/>
      <c r="AB5" s="1"/>
    </row>
    <row r="6" spans="1:30">
      <c r="A6" s="634"/>
      <c r="B6" s="634"/>
      <c r="C6" s="634"/>
      <c r="D6" s="636"/>
      <c r="E6" s="636"/>
      <c r="F6" s="636"/>
      <c r="G6" s="636"/>
      <c r="H6" s="636"/>
      <c r="I6" s="636"/>
      <c r="J6" s="634"/>
    </row>
    <row r="7" spans="1:30" ht="19.5" customHeight="1">
      <c r="A7" s="83"/>
      <c r="B7" s="84"/>
      <c r="C7" s="84"/>
      <c r="D7" s="629" t="s">
        <v>58</v>
      </c>
      <c r="E7" s="630"/>
      <c r="F7" s="630"/>
      <c r="G7" s="630"/>
      <c r="H7" s="630"/>
      <c r="I7" s="554"/>
      <c r="J7" s="93"/>
      <c r="L7" s="629" t="s">
        <v>60</v>
      </c>
      <c r="M7" s="630"/>
      <c r="N7" s="101"/>
      <c r="P7" s="629" t="s">
        <v>61</v>
      </c>
      <c r="Q7" s="630"/>
      <c r="R7" s="630"/>
      <c r="S7" s="630"/>
      <c r="T7" s="93"/>
      <c r="V7" s="101"/>
      <c r="X7" s="101"/>
      <c r="Z7" s="101"/>
      <c r="AB7" s="101"/>
    </row>
    <row r="8" spans="1:30" s="1" customFormat="1" ht="46.5" customHeight="1">
      <c r="A8" s="86" t="s">
        <v>29</v>
      </c>
      <c r="B8" s="87"/>
      <c r="C8" s="87"/>
      <c r="D8" s="367" t="s">
        <v>10</v>
      </c>
      <c r="E8" s="559" t="s">
        <v>52</v>
      </c>
      <c r="F8" s="559" t="s">
        <v>64</v>
      </c>
      <c r="G8" s="559" t="s">
        <v>59</v>
      </c>
      <c r="H8" s="559" t="s">
        <v>30</v>
      </c>
      <c r="I8" s="560" t="s">
        <v>250</v>
      </c>
      <c r="J8" s="94" t="s">
        <v>225</v>
      </c>
      <c r="K8" s="74"/>
      <c r="L8" s="88" t="s">
        <v>48</v>
      </c>
      <c r="M8" s="91" t="s">
        <v>30</v>
      </c>
      <c r="N8" s="94" t="s">
        <v>226</v>
      </c>
      <c r="O8" s="74"/>
      <c r="P8" s="92" t="s">
        <v>53</v>
      </c>
      <c r="Q8" s="91" t="s">
        <v>56</v>
      </c>
      <c r="R8" s="91" t="s">
        <v>165</v>
      </c>
      <c r="S8" s="91" t="s">
        <v>63</v>
      </c>
      <c r="T8" s="94" t="s">
        <v>227</v>
      </c>
      <c r="U8" s="74"/>
      <c r="V8" s="319" t="s">
        <v>166</v>
      </c>
      <c r="W8" s="74"/>
      <c r="X8" s="352" t="s">
        <v>377</v>
      </c>
      <c r="Z8" s="371" t="s">
        <v>363</v>
      </c>
      <c r="AB8" s="352" t="s">
        <v>328</v>
      </c>
    </row>
    <row r="9" spans="1:30" ht="15" customHeight="1">
      <c r="A9" s="34" t="s">
        <v>11</v>
      </c>
      <c r="B9" s="7"/>
      <c r="C9" s="7"/>
      <c r="D9" s="434">
        <f>ROUND('Ugrad Enrollment'!M13,1)</f>
        <v>4541250</v>
      </c>
      <c r="E9" s="411">
        <f>ROUND('Ugrad IU'!M11,1)</f>
        <v>5104407</v>
      </c>
      <c r="F9" s="411">
        <f>ROUND('Ugrad Differential'!F9,1)</f>
        <v>3379468.8</v>
      </c>
      <c r="G9" s="411">
        <v>0</v>
      </c>
      <c r="H9" s="411">
        <f>ROUND('Ugrad Summer'!F9,1)</f>
        <v>524347.19999999995</v>
      </c>
      <c r="I9" s="411">
        <f>+'Ugrad Winter'!D8</f>
        <v>95227.039533602641</v>
      </c>
      <c r="J9" s="436">
        <f>SUM(D9:I9)</f>
        <v>13644700.039533602</v>
      </c>
      <c r="K9" s="412"/>
      <c r="L9" s="434">
        <f>ROUND('Grad Fall_Spring'!G10,1)</f>
        <v>506514.5</v>
      </c>
      <c r="M9" s="421">
        <f>ROUND('Grad Summer'!F10,1)</f>
        <v>75137</v>
      </c>
      <c r="N9" s="437">
        <f>M9+L9</f>
        <v>581651.5</v>
      </c>
      <c r="O9" s="412"/>
      <c r="P9" s="435">
        <v>0</v>
      </c>
      <c r="Q9" s="411">
        <v>0</v>
      </c>
      <c r="R9" s="411">
        <f>+'Ugrad Int''l Diff'!B7</f>
        <v>44526.927409272343</v>
      </c>
      <c r="S9" s="411">
        <f>ROUND('Other Income'!M9,1)</f>
        <v>915346</v>
      </c>
      <c r="T9" s="436">
        <f>SUBTOTAL(9,P9:S9)</f>
        <v>959872.92740927229</v>
      </c>
      <c r="U9" s="412"/>
      <c r="V9" s="437">
        <v>0</v>
      </c>
      <c r="W9" s="412"/>
      <c r="X9" s="437">
        <f>J9+N9+T9+V9</f>
        <v>15186224.466942875</v>
      </c>
      <c r="Y9" s="420"/>
      <c r="Z9" s="437">
        <f>X39</f>
        <v>15269993.3094634</v>
      </c>
      <c r="AA9" s="420"/>
      <c r="AB9" s="437">
        <f>X9-Z9</f>
        <v>-83768.842520525679</v>
      </c>
    </row>
    <row r="10" spans="1:30" ht="15" customHeight="1">
      <c r="A10" s="34" t="s">
        <v>379</v>
      </c>
      <c r="B10" s="7"/>
      <c r="C10" s="7"/>
      <c r="D10" s="424">
        <f>ROUND('Ugrad Enrollment'!M14,1)</f>
        <v>6175850</v>
      </c>
      <c r="E10" s="412">
        <f>ROUND('Ugrad IU'!M12,1)</f>
        <v>4038366</v>
      </c>
      <c r="F10" s="412">
        <f>ROUND('Ugrad Differential'!F10,1)</f>
        <v>12079542.4</v>
      </c>
      <c r="G10" s="412">
        <v>0</v>
      </c>
      <c r="H10" s="412">
        <f>ROUND('Ugrad Summer'!F10,1)</f>
        <v>1783446.8</v>
      </c>
      <c r="I10" s="412">
        <f>+'Ugrad Winter'!D9</f>
        <v>446628.22767168563</v>
      </c>
      <c r="J10" s="425">
        <f t="shared" ref="J10:J25" si="0">SUM(D10:I10)</f>
        <v>24523833.427671686</v>
      </c>
      <c r="K10" s="412"/>
      <c r="L10" s="424">
        <f>ROUND('Grad Fall_Spring'!G11,1)</f>
        <v>339503.8</v>
      </c>
      <c r="M10" s="347">
        <f>ROUND('Grad Summer'!F11,1)</f>
        <v>31694.3</v>
      </c>
      <c r="N10" s="440">
        <f t="shared" ref="N10:N27" si="1">M10+L10</f>
        <v>371198.1</v>
      </c>
      <c r="O10" s="412"/>
      <c r="P10" s="439">
        <v>0</v>
      </c>
      <c r="Q10" s="412">
        <f>ROUND('Prof &amp; SS UPDATE'!G10,0)</f>
        <v>40156420</v>
      </c>
      <c r="R10" s="449">
        <f>+'Ugrad Int''l Diff'!B8</f>
        <v>387697.94939545868</v>
      </c>
      <c r="S10" s="412">
        <f>ROUND('Other Income'!M10,1)</f>
        <v>3612</v>
      </c>
      <c r="T10" s="425">
        <f>SUBTOTAL(9,P10:S10)</f>
        <v>40547729.949395455</v>
      </c>
      <c r="U10" s="412"/>
      <c r="V10" s="440">
        <v>0</v>
      </c>
      <c r="W10" s="412"/>
      <c r="X10" s="440">
        <f t="shared" ref="X10:X27" si="2">J10+N10+T10+V10</f>
        <v>65442761.477067143</v>
      </c>
      <c r="Y10" s="420"/>
      <c r="Z10" s="440">
        <f t="shared" ref="Z10:Z26" si="3">X40</f>
        <v>59509242.439960301</v>
      </c>
      <c r="AA10" s="420"/>
      <c r="AB10" s="440">
        <f t="shared" ref="AB10:AB27" si="4">X10-Z10</f>
        <v>5933519.0371068418</v>
      </c>
    </row>
    <row r="11" spans="1:30" s="77" customFormat="1" ht="15" customHeight="1">
      <c r="A11" s="294" t="s">
        <v>13</v>
      </c>
      <c r="B11" s="6"/>
      <c r="C11" s="6"/>
      <c r="D11" s="439">
        <f>ROUND('Ugrad Enrollment'!M15,1)</f>
        <v>976950</v>
      </c>
      <c r="E11" s="412">
        <f>ROUND('Ugrad IU'!M13,1)</f>
        <v>1461659</v>
      </c>
      <c r="F11" s="412">
        <v>0</v>
      </c>
      <c r="G11" s="412">
        <v>0</v>
      </c>
      <c r="H11" s="412">
        <f>ROUND('Ugrad Summer'!F11,1)</f>
        <v>111622.2</v>
      </c>
      <c r="I11" s="412">
        <f>+'Ugrad Winter'!D10</f>
        <v>0</v>
      </c>
      <c r="J11" s="440">
        <f t="shared" si="0"/>
        <v>2550231.2000000002</v>
      </c>
      <c r="K11" s="412"/>
      <c r="L11" s="439">
        <f>ROUND('Grad Fall_Spring'!G12,1)</f>
        <v>1349899.8</v>
      </c>
      <c r="M11" s="347">
        <f>ROUND('Grad Summer'!F12,1)</f>
        <v>197153.7</v>
      </c>
      <c r="N11" s="440">
        <f t="shared" si="1"/>
        <v>1547053.5</v>
      </c>
      <c r="O11" s="412"/>
      <c r="P11" s="439">
        <v>0</v>
      </c>
      <c r="Q11" s="412">
        <f>ROUND('Prof &amp; SS UPDATE'!G11,1)</f>
        <v>106875</v>
      </c>
      <c r="R11" s="412"/>
      <c r="S11" s="412">
        <f>ROUND('Other Income'!M11,1)</f>
        <v>2379847.4</v>
      </c>
      <c r="T11" s="440">
        <f t="shared" ref="T11:T27" si="5">SUBTOTAL(9,P11:S11)</f>
        <v>2486722.4</v>
      </c>
      <c r="U11" s="412"/>
      <c r="V11" s="440">
        <v>0</v>
      </c>
      <c r="W11" s="412"/>
      <c r="X11" s="440">
        <f t="shared" si="2"/>
        <v>6584007.0999999996</v>
      </c>
      <c r="Y11" s="449"/>
      <c r="Z11" s="440">
        <f t="shared" si="3"/>
        <v>6241740.0098853111</v>
      </c>
      <c r="AA11" s="449"/>
      <c r="AB11" s="440">
        <f t="shared" si="4"/>
        <v>342267.0901146885</v>
      </c>
      <c r="AC11" s="2"/>
      <c r="AD11" s="2"/>
    </row>
    <row r="12" spans="1:30" s="77" customFormat="1" ht="15" customHeight="1">
      <c r="A12" s="294" t="s">
        <v>14</v>
      </c>
      <c r="B12" s="6"/>
      <c r="C12" s="6"/>
      <c r="D12" s="439">
        <f>ROUND('Ugrad Enrollment'!M16,1)</f>
        <v>16587200</v>
      </c>
      <c r="E12" s="412">
        <f>ROUND('Ugrad IU'!M14,1)</f>
        <v>14530936</v>
      </c>
      <c r="F12" s="412">
        <f>ROUND('Ugrad Differential'!F11,1)</f>
        <v>30778629.699999999</v>
      </c>
      <c r="G12" s="412">
        <v>0</v>
      </c>
      <c r="H12" s="412">
        <f>ROUND('Ugrad Summer'!F12,1)</f>
        <v>2684510.1</v>
      </c>
      <c r="I12" s="412">
        <f>+'Ugrad Winter'!D11</f>
        <v>33083.572420124867</v>
      </c>
      <c r="J12" s="440">
        <f t="shared" si="0"/>
        <v>64614359.372420132</v>
      </c>
      <c r="K12" s="412"/>
      <c r="L12" s="439">
        <f>ROUND('Grad Fall_Spring'!G13,1)</f>
        <v>14348811.6</v>
      </c>
      <c r="M12" s="347">
        <f>ROUND('Grad Summer'!F13,1)</f>
        <v>444311.5</v>
      </c>
      <c r="N12" s="440">
        <f t="shared" si="1"/>
        <v>14793123.1</v>
      </c>
      <c r="O12" s="412"/>
      <c r="P12" s="439">
        <v>0</v>
      </c>
      <c r="Q12" s="412">
        <f>ROUND('Prof &amp; SS UPDATE'!G12,1)</f>
        <v>12642251</v>
      </c>
      <c r="R12" s="412">
        <f>+'Ugrad Int''l Diff'!B11</f>
        <v>5555598.7208436923</v>
      </c>
      <c r="S12" s="412">
        <f>ROUND('Other Income'!M12,1)</f>
        <v>1800000</v>
      </c>
      <c r="T12" s="440">
        <f t="shared" si="5"/>
        <v>19997849.720843691</v>
      </c>
      <c r="U12" s="412"/>
      <c r="V12" s="440">
        <v>0</v>
      </c>
      <c r="W12" s="412"/>
      <c r="X12" s="440">
        <f t="shared" si="2"/>
        <v>99405332.193263814</v>
      </c>
      <c r="Y12" s="449"/>
      <c r="Z12" s="440">
        <f t="shared" si="3"/>
        <v>94321731.121641636</v>
      </c>
      <c r="AA12" s="449"/>
      <c r="AB12" s="440">
        <f t="shared" si="4"/>
        <v>5083601.071622178</v>
      </c>
      <c r="AC12" s="2"/>
      <c r="AD12" s="2"/>
    </row>
    <row r="13" spans="1:30" s="77" customFormat="1" ht="15" customHeight="1">
      <c r="A13" s="294" t="s">
        <v>15</v>
      </c>
      <c r="B13" s="6"/>
      <c r="C13" s="6"/>
      <c r="D13" s="439">
        <f>ROUND('Ugrad Enrollment'!M17,1)</f>
        <v>3178000</v>
      </c>
      <c r="E13" s="412">
        <f>ROUND('Ugrad IU'!M15,1)</f>
        <v>4081990</v>
      </c>
      <c r="F13" s="412">
        <f>ROUND('Ugrad Differential'!F12,1)</f>
        <v>2065114.2</v>
      </c>
      <c r="G13" s="412">
        <v>0</v>
      </c>
      <c r="H13" s="412">
        <f>ROUND('Ugrad Summer'!F13,1)</f>
        <v>803474.3</v>
      </c>
      <c r="I13" s="412">
        <f>+'Ugrad Winter'!D12</f>
        <v>257515.37451340433</v>
      </c>
      <c r="J13" s="440">
        <f t="shared" si="0"/>
        <v>10386093.874513404</v>
      </c>
      <c r="K13" s="412"/>
      <c r="L13" s="439">
        <f>ROUND('Grad Fall_Spring'!G14,1)</f>
        <v>5839036.5999999996</v>
      </c>
      <c r="M13" s="347">
        <f>ROUND('Grad Summer'!F14,1)</f>
        <v>221993.7</v>
      </c>
      <c r="N13" s="440">
        <f t="shared" si="1"/>
        <v>6061030.2999999998</v>
      </c>
      <c r="O13" s="412"/>
      <c r="P13" s="439">
        <v>0</v>
      </c>
      <c r="Q13" s="412">
        <v>0</v>
      </c>
      <c r="R13" s="412"/>
      <c r="S13" s="412">
        <f>ROUND('Other Income'!M13,1)</f>
        <v>51544.800000000003</v>
      </c>
      <c r="T13" s="440">
        <f t="shared" si="5"/>
        <v>51544.800000000003</v>
      </c>
      <c r="U13" s="412"/>
      <c r="V13" s="440">
        <v>0</v>
      </c>
      <c r="W13" s="412"/>
      <c r="X13" s="440">
        <f t="shared" si="2"/>
        <v>16498668.974513404</v>
      </c>
      <c r="Y13" s="449"/>
      <c r="Z13" s="440">
        <f t="shared" si="3"/>
        <v>16095093.809914693</v>
      </c>
      <c r="AA13" s="449"/>
      <c r="AB13" s="440">
        <f t="shared" si="4"/>
        <v>403575.16459871083</v>
      </c>
      <c r="AC13" s="2"/>
      <c r="AD13" s="2"/>
    </row>
    <row r="14" spans="1:30" ht="15" customHeight="1">
      <c r="A14" s="34" t="s">
        <v>143</v>
      </c>
      <c r="B14" s="7"/>
      <c r="C14" s="7"/>
      <c r="D14" s="424"/>
      <c r="E14" s="412">
        <v>0</v>
      </c>
      <c r="F14" s="412">
        <v>0</v>
      </c>
      <c r="G14" s="412">
        <v>0</v>
      </c>
      <c r="H14" s="412">
        <v>0</v>
      </c>
      <c r="I14" s="412">
        <v>0</v>
      </c>
      <c r="J14" s="425">
        <f t="shared" si="0"/>
        <v>0</v>
      </c>
      <c r="K14" s="412"/>
      <c r="L14" s="424">
        <v>0</v>
      </c>
      <c r="M14" s="347">
        <v>0</v>
      </c>
      <c r="N14" s="440">
        <f t="shared" si="1"/>
        <v>0</v>
      </c>
      <c r="O14" s="412"/>
      <c r="P14" s="439">
        <f>0</f>
        <v>0</v>
      </c>
      <c r="Q14" s="412">
        <f>ROUND('Prof &amp; SS UPDATE'!G15,1)</f>
        <v>833004</v>
      </c>
      <c r="R14" s="412"/>
      <c r="S14" s="412">
        <v>0</v>
      </c>
      <c r="T14" s="425">
        <f t="shared" si="5"/>
        <v>833004</v>
      </c>
      <c r="U14" s="412"/>
      <c r="V14" s="440">
        <v>0</v>
      </c>
      <c r="W14" s="412"/>
      <c r="X14" s="440">
        <f t="shared" si="2"/>
        <v>833004</v>
      </c>
      <c r="Y14" s="420"/>
      <c r="Z14" s="440">
        <f t="shared" si="3"/>
        <v>940902.49512614985</v>
      </c>
      <c r="AA14" s="420"/>
      <c r="AB14" s="440">
        <f t="shared" si="4"/>
        <v>-107898.49512614985</v>
      </c>
    </row>
    <row r="15" spans="1:30" s="77" customFormat="1" ht="15" customHeight="1">
      <c r="A15" s="294" t="s">
        <v>16</v>
      </c>
      <c r="B15" s="6"/>
      <c r="C15" s="6"/>
      <c r="D15" s="439">
        <f>ROUND('Ugrad Enrollment'!M18,1)</f>
        <v>1722700</v>
      </c>
      <c r="E15" s="412">
        <f>ROUND('Ugrad IU'!M16,1)</f>
        <v>1875746</v>
      </c>
      <c r="F15" s="412">
        <f>ROUND('Ugrad Differential'!F13,1)</f>
        <v>550535.6</v>
      </c>
      <c r="G15" s="412">
        <v>0</v>
      </c>
      <c r="H15" s="412">
        <f>ROUND('Ugrad Summer'!F14,1)</f>
        <v>235432.5</v>
      </c>
      <c r="I15" s="347">
        <f>+'Ugrad Winter'!D13</f>
        <v>57672.714083731182</v>
      </c>
      <c r="J15" s="440">
        <f t="shared" si="0"/>
        <v>4442086.8140837308</v>
      </c>
      <c r="K15" s="412"/>
      <c r="L15" s="439">
        <f>ROUND('Grad Fall_Spring'!G15,1)</f>
        <v>262189.59999999998</v>
      </c>
      <c r="M15" s="347">
        <f>ROUND('Grad Summer'!F15,1)</f>
        <v>16480.8</v>
      </c>
      <c r="N15" s="440">
        <f t="shared" si="1"/>
        <v>278670.39999999997</v>
      </c>
      <c r="O15" s="412"/>
      <c r="P15" s="439">
        <v>0</v>
      </c>
      <c r="Q15" s="412">
        <v>0</v>
      </c>
      <c r="R15" s="412"/>
      <c r="S15" s="412">
        <f>ROUND('Other Income'!M14,1)</f>
        <v>386748</v>
      </c>
      <c r="T15" s="440">
        <f t="shared" si="5"/>
        <v>386748</v>
      </c>
      <c r="U15" s="412"/>
      <c r="V15" s="440">
        <v>0</v>
      </c>
      <c r="W15" s="412"/>
      <c r="X15" s="440">
        <f t="shared" si="2"/>
        <v>5107505.2140837312</v>
      </c>
      <c r="Y15" s="449"/>
      <c r="Z15" s="440">
        <f t="shared" si="3"/>
        <v>5064029.5703333449</v>
      </c>
      <c r="AA15" s="449"/>
      <c r="AB15" s="440">
        <f t="shared" si="4"/>
        <v>43475.643750386313</v>
      </c>
      <c r="AC15" s="2"/>
      <c r="AD15" s="2"/>
    </row>
    <row r="16" spans="1:30" s="77" customFormat="1" ht="15" customHeight="1">
      <c r="A16" s="294" t="s">
        <v>17</v>
      </c>
      <c r="B16" s="6"/>
      <c r="C16" s="6"/>
      <c r="D16" s="439">
        <v>0</v>
      </c>
      <c r="E16" s="412">
        <f>ROUND('Ugrad IU'!M17,1)</f>
        <v>47842</v>
      </c>
      <c r="F16" s="412">
        <v>0</v>
      </c>
      <c r="G16" s="412">
        <v>0</v>
      </c>
      <c r="H16" s="412">
        <f>'Ugrad Summer'!F15</f>
        <v>4050.8053646188296</v>
      </c>
      <c r="I16" s="347">
        <v>0</v>
      </c>
      <c r="J16" s="440">
        <f t="shared" si="0"/>
        <v>51892.805364618827</v>
      </c>
      <c r="K16" s="412"/>
      <c r="L16" s="439">
        <f>ROUND('Grad Fall_Spring'!G16,1)</f>
        <v>0</v>
      </c>
      <c r="M16" s="347">
        <v>0</v>
      </c>
      <c r="N16" s="440">
        <f t="shared" si="1"/>
        <v>0</v>
      </c>
      <c r="O16" s="412"/>
      <c r="P16" s="439">
        <f>ROUND('Prof &amp; SS UPDATE'!G14,1)</f>
        <v>19142708</v>
      </c>
      <c r="Q16" s="412">
        <v>0</v>
      </c>
      <c r="R16" s="412"/>
      <c r="S16" s="412">
        <f>ROUND('Other Income'!M15,1)</f>
        <v>255000</v>
      </c>
      <c r="T16" s="440">
        <f t="shared" si="5"/>
        <v>19397708</v>
      </c>
      <c r="U16" s="412"/>
      <c r="V16" s="440">
        <v>0</v>
      </c>
      <c r="W16" s="412"/>
      <c r="X16" s="440">
        <f>J16+N16+T16+V16</f>
        <v>19449600.80536462</v>
      </c>
      <c r="Y16" s="449"/>
      <c r="Z16" s="440">
        <f t="shared" si="3"/>
        <v>21257218.742435951</v>
      </c>
      <c r="AA16" s="449"/>
      <c r="AB16" s="440">
        <f>X16-Z16</f>
        <v>-1807617.9370713308</v>
      </c>
      <c r="AC16" s="2"/>
      <c r="AD16" s="2"/>
    </row>
    <row r="17" spans="1:30" s="77" customFormat="1" ht="15" customHeight="1">
      <c r="A17" s="294" t="s">
        <v>18</v>
      </c>
      <c r="B17" s="6"/>
      <c r="C17" s="6"/>
      <c r="D17" s="439">
        <f>ROUND('Ugrad Enrollment'!M19,1)</f>
        <v>26908075</v>
      </c>
      <c r="E17" s="412">
        <f>ROUND('Ugrad IU'!M18,1)</f>
        <v>29116315</v>
      </c>
      <c r="F17" s="412">
        <f>ROUND('Ugrad Differential'!F14,1)</f>
        <v>17995608.899999999</v>
      </c>
      <c r="G17" s="412">
        <v>0</v>
      </c>
      <c r="H17" s="412">
        <f>'Ugrad Summer'!F16</f>
        <v>7966669.7766819205</v>
      </c>
      <c r="I17" s="347">
        <f>+'Ugrad Winter'!D15</f>
        <v>1450759.3581527728</v>
      </c>
      <c r="J17" s="440">
        <f t="shared" si="0"/>
        <v>83437428.034834698</v>
      </c>
      <c r="K17" s="412"/>
      <c r="L17" s="439">
        <f>ROUND('Grad Fall_Spring'!G17,1)</f>
        <v>2115887.7000000002</v>
      </c>
      <c r="M17" s="347">
        <f>ROUND('Grad Summer'!F17,1)</f>
        <v>91446.9</v>
      </c>
      <c r="N17" s="440">
        <f t="shared" si="1"/>
        <v>2207334.6</v>
      </c>
      <c r="O17" s="412"/>
      <c r="P17" s="439">
        <v>0</v>
      </c>
      <c r="Q17" s="412">
        <f>ROUND('Prof &amp; SS UPDATE'!G16,1)</f>
        <v>5860825</v>
      </c>
      <c r="R17" s="412">
        <f>+'Ugrad Int''l Diff'!B12</f>
        <v>1980912.8621533117</v>
      </c>
      <c r="S17" s="412">
        <f>ROUND('Other Income'!M16,1)</f>
        <v>2335067.2000000002</v>
      </c>
      <c r="T17" s="440">
        <f t="shared" si="5"/>
        <v>10176805.062153313</v>
      </c>
      <c r="U17" s="412"/>
      <c r="V17" s="440">
        <v>0</v>
      </c>
      <c r="W17" s="412"/>
      <c r="X17" s="440">
        <f t="shared" si="2"/>
        <v>95821567.696988001</v>
      </c>
      <c r="Y17" s="449"/>
      <c r="Z17" s="440">
        <f t="shared" si="3"/>
        <v>96472407.222326383</v>
      </c>
      <c r="AA17" s="449"/>
      <c r="AB17" s="440">
        <f>X17-Z17</f>
        <v>-650839.52533838153</v>
      </c>
      <c r="AC17" s="2"/>
      <c r="AD17" s="2"/>
    </row>
    <row r="18" spans="1:30" ht="15" customHeight="1">
      <c r="A18" s="462" t="s">
        <v>19</v>
      </c>
      <c r="B18" s="463"/>
      <c r="C18" s="463"/>
      <c r="D18" s="464">
        <f>+'Ugrad Enrollment'!M20</f>
        <v>0</v>
      </c>
      <c r="E18" s="465">
        <f>ROUND('Ugrad IU'!M19,1)</f>
        <v>153404</v>
      </c>
      <c r="F18" s="465">
        <v>0</v>
      </c>
      <c r="G18" s="465">
        <v>0</v>
      </c>
      <c r="H18" s="465">
        <f>'Ugrad Summer'!F17</f>
        <v>8101.6107292376591</v>
      </c>
      <c r="I18" s="467">
        <f>+'Ugrad Winter'!D16</f>
        <v>0</v>
      </c>
      <c r="J18" s="466">
        <f t="shared" si="0"/>
        <v>161505.61072923767</v>
      </c>
      <c r="K18" s="412"/>
      <c r="L18" s="464">
        <f>ROUND('Grad Fall_Spring'!G18,1)</f>
        <v>0</v>
      </c>
      <c r="M18" s="467">
        <v>0</v>
      </c>
      <c r="N18" s="466">
        <f t="shared" si="1"/>
        <v>0</v>
      </c>
      <c r="O18" s="465"/>
      <c r="P18" s="464">
        <v>0</v>
      </c>
      <c r="Q18" s="465">
        <v>0</v>
      </c>
      <c r="R18" s="465"/>
      <c r="S18" s="465">
        <f>ROUND('Other Income'!M17,1)</f>
        <v>0</v>
      </c>
      <c r="T18" s="466">
        <f t="shared" si="5"/>
        <v>0</v>
      </c>
      <c r="U18" s="465"/>
      <c r="V18" s="466">
        <f>-J18</f>
        <v>-161505.61072923767</v>
      </c>
      <c r="W18" s="465"/>
      <c r="X18" s="466">
        <f t="shared" si="2"/>
        <v>0</v>
      </c>
      <c r="Y18" s="468"/>
      <c r="Z18" s="466">
        <f t="shared" si="3"/>
        <v>0</v>
      </c>
      <c r="AA18" s="468"/>
      <c r="AB18" s="466">
        <f t="shared" si="4"/>
        <v>0</v>
      </c>
    </row>
    <row r="19" spans="1:30" s="77" customFormat="1" ht="15" customHeight="1">
      <c r="A19" s="294" t="s">
        <v>20</v>
      </c>
      <c r="B19" s="6"/>
      <c r="C19" s="6"/>
      <c r="D19" s="439">
        <f>ROUND('Ugrad Enrollment'!M21,1)</f>
        <v>3527800</v>
      </c>
      <c r="E19" s="412">
        <f>ROUND('Ugrad IU'!M20,1)</f>
        <v>6924403</v>
      </c>
      <c r="F19" s="412">
        <v>0</v>
      </c>
      <c r="G19" s="412">
        <v>0</v>
      </c>
      <c r="H19" s="412">
        <f>'Ugrad Summer'!F18</f>
        <v>932585.41283224616</v>
      </c>
      <c r="I19" s="347">
        <f>+'Ugrad Winter'!D17</f>
        <v>93885.81362467866</v>
      </c>
      <c r="J19" s="440">
        <f t="shared" si="0"/>
        <v>11478674.226456923</v>
      </c>
      <c r="K19" s="412"/>
      <c r="L19" s="439">
        <f>ROUND('Grad Fall_Spring'!G19,1)</f>
        <v>926076.2</v>
      </c>
      <c r="M19" s="347">
        <f>ROUND('Grad Summer'!F19,1)</f>
        <v>264490.90000000002</v>
      </c>
      <c r="N19" s="440">
        <f t="shared" si="1"/>
        <v>1190567.1000000001</v>
      </c>
      <c r="O19" s="412"/>
      <c r="P19" s="439">
        <v>0</v>
      </c>
      <c r="Q19" s="412">
        <f>ROUND('Prof &amp; SS UPDATE'!G13,1)</f>
        <v>492720</v>
      </c>
      <c r="R19" s="412"/>
      <c r="S19" s="412">
        <f>ROUND('Other Income'!M18,1)</f>
        <v>459240.3</v>
      </c>
      <c r="T19" s="440">
        <f t="shared" si="5"/>
        <v>951960.3</v>
      </c>
      <c r="U19" s="412"/>
      <c r="V19" s="440">
        <v>0</v>
      </c>
      <c r="W19" s="412"/>
      <c r="X19" s="440">
        <f t="shared" si="2"/>
        <v>13621201.626456924</v>
      </c>
      <c r="Y19" s="449"/>
      <c r="Z19" s="440">
        <f t="shared" si="3"/>
        <v>12772579.464899432</v>
      </c>
      <c r="AA19" s="449"/>
      <c r="AB19" s="440">
        <f t="shared" si="4"/>
        <v>848622.16155749187</v>
      </c>
      <c r="AC19" s="2"/>
      <c r="AD19" s="2"/>
    </row>
    <row r="20" spans="1:30" s="77" customFormat="1" ht="15" customHeight="1">
      <c r="A20" s="294" t="s">
        <v>21</v>
      </c>
      <c r="B20" s="6"/>
      <c r="C20" s="6"/>
      <c r="D20" s="439">
        <v>0</v>
      </c>
      <c r="E20" s="412">
        <f>ROUND('Ugrad IU'!M21,1)</f>
        <v>22495</v>
      </c>
      <c r="F20" s="412">
        <v>0</v>
      </c>
      <c r="G20" s="412">
        <v>0</v>
      </c>
      <c r="H20" s="412">
        <f>'Ugrad Summer'!F19</f>
        <v>6751.3422743647161</v>
      </c>
      <c r="I20" s="347">
        <f>+'Ugrad Winter'!D18</f>
        <v>0</v>
      </c>
      <c r="J20" s="440">
        <f t="shared" si="0"/>
        <v>29246.342274364717</v>
      </c>
      <c r="K20" s="412"/>
      <c r="L20" s="439">
        <f>ROUND('Grad Fall_Spring'!G20,1)</f>
        <v>2855.7</v>
      </c>
      <c r="M20" s="347">
        <f>ROUND('Grad Summer'!F20,1)</f>
        <v>4266.2</v>
      </c>
      <c r="N20" s="440">
        <f t="shared" si="1"/>
        <v>7121.9</v>
      </c>
      <c r="O20" s="412"/>
      <c r="P20" s="439">
        <f>ROUND('Prof &amp; SS UPDATE'!G17,1)</f>
        <v>18971621</v>
      </c>
      <c r="Q20" s="412">
        <v>0</v>
      </c>
      <c r="R20" s="412"/>
      <c r="S20" s="412">
        <f>ROUND('Other Income'!M19,1)</f>
        <v>0</v>
      </c>
      <c r="T20" s="440">
        <f t="shared" si="5"/>
        <v>18971621</v>
      </c>
      <c r="U20" s="412"/>
      <c r="V20" s="440">
        <v>0</v>
      </c>
      <c r="W20" s="412"/>
      <c r="X20" s="440">
        <f t="shared" si="2"/>
        <v>19007989.242274366</v>
      </c>
      <c r="Y20" s="449"/>
      <c r="Z20" s="440">
        <f t="shared" si="3"/>
        <v>18418613.899999999</v>
      </c>
      <c r="AA20" s="449"/>
      <c r="AB20" s="440">
        <f t="shared" si="4"/>
        <v>589375.34227436781</v>
      </c>
      <c r="AC20" s="2"/>
      <c r="AD20" s="2"/>
    </row>
    <row r="21" spans="1:30" ht="15" customHeight="1">
      <c r="A21" s="462" t="s">
        <v>22</v>
      </c>
      <c r="B21" s="463"/>
      <c r="C21" s="463"/>
      <c r="D21" s="464">
        <f>ROUND('Ugrad Enrollment'!M25,1)</f>
        <v>0</v>
      </c>
      <c r="E21" s="465">
        <f>ROUND('Ugrad IU'!M22,1)</f>
        <v>96860</v>
      </c>
      <c r="F21" s="465">
        <v>0</v>
      </c>
      <c r="G21" s="465">
        <v>0</v>
      </c>
      <c r="H21" s="465">
        <f>'Ugrad Summer'!F20</f>
        <v>0</v>
      </c>
      <c r="I21" s="467">
        <f>+'Ugrad Winter'!D19</f>
        <v>0</v>
      </c>
      <c r="J21" s="466">
        <f t="shared" si="0"/>
        <v>96860</v>
      </c>
      <c r="K21" s="412"/>
      <c r="L21" s="464">
        <f>ROUND('Grad Fall_Spring'!G21,1)</f>
        <v>0</v>
      </c>
      <c r="M21" s="467">
        <v>0</v>
      </c>
      <c r="N21" s="466">
        <f t="shared" si="1"/>
        <v>0</v>
      </c>
      <c r="O21" s="465"/>
      <c r="P21" s="464">
        <v>0</v>
      </c>
      <c r="Q21" s="465">
        <v>0</v>
      </c>
      <c r="R21" s="465"/>
      <c r="S21" s="465">
        <f>ROUND('Other Income'!M20,1)</f>
        <v>0</v>
      </c>
      <c r="T21" s="466">
        <f t="shared" si="5"/>
        <v>0</v>
      </c>
      <c r="U21" s="465"/>
      <c r="V21" s="466">
        <f>-J21</f>
        <v>-96860</v>
      </c>
      <c r="W21" s="465"/>
      <c r="X21" s="466">
        <f t="shared" si="2"/>
        <v>0</v>
      </c>
      <c r="Y21" s="468"/>
      <c r="Z21" s="466">
        <f>X51</f>
        <v>0</v>
      </c>
      <c r="AA21" s="468"/>
      <c r="AB21" s="466">
        <f t="shared" si="4"/>
        <v>0</v>
      </c>
    </row>
    <row r="22" spans="1:30" ht="15" customHeight="1">
      <c r="A22" s="462" t="s">
        <v>23</v>
      </c>
      <c r="B22" s="463"/>
      <c r="C22" s="463"/>
      <c r="D22" s="464">
        <f>ROUND('Ugrad Enrollment'!M22,1)</f>
        <v>-61100</v>
      </c>
      <c r="E22" s="465">
        <f>ROUND('Ugrad IU'!M23,1)</f>
        <v>-90900</v>
      </c>
      <c r="F22" s="465">
        <v>0</v>
      </c>
      <c r="G22" s="465">
        <v>0</v>
      </c>
      <c r="H22" s="465">
        <f>'Ugrad Summer'!F21</f>
        <v>0</v>
      </c>
      <c r="I22" s="467">
        <f>+'Ugrad Winter'!D20</f>
        <v>0</v>
      </c>
      <c r="J22" s="466">
        <f t="shared" si="0"/>
        <v>-152000</v>
      </c>
      <c r="K22" s="412"/>
      <c r="L22" s="464">
        <f>ROUND('Grad Fall_Spring'!G22,1)</f>
        <v>0</v>
      </c>
      <c r="M22" s="467">
        <f>ROUND('Grad Summer'!F22,1)</f>
        <v>0</v>
      </c>
      <c r="N22" s="466">
        <f t="shared" si="1"/>
        <v>0</v>
      </c>
      <c r="O22" s="465"/>
      <c r="P22" s="464">
        <v>0</v>
      </c>
      <c r="Q22" s="465">
        <v>0</v>
      </c>
      <c r="R22" s="465"/>
      <c r="S22" s="465">
        <f>ROUND('Other Income'!M21,1)</f>
        <v>0</v>
      </c>
      <c r="T22" s="466">
        <f t="shared" si="5"/>
        <v>0</v>
      </c>
      <c r="U22" s="465"/>
      <c r="V22" s="466">
        <f>-E22-D22</f>
        <v>152000</v>
      </c>
      <c r="W22" s="465"/>
      <c r="X22" s="466">
        <f t="shared" si="2"/>
        <v>0</v>
      </c>
      <c r="Y22" s="468"/>
      <c r="Z22" s="466">
        <f>X52</f>
        <v>0</v>
      </c>
      <c r="AA22" s="468"/>
      <c r="AB22" s="466">
        <f t="shared" si="4"/>
        <v>0</v>
      </c>
    </row>
    <row r="23" spans="1:30" ht="15" customHeight="1">
      <c r="A23" s="34" t="s">
        <v>24</v>
      </c>
      <c r="B23" s="7"/>
      <c r="C23" s="7"/>
      <c r="D23" s="424">
        <v>0</v>
      </c>
      <c r="E23" s="412">
        <f>ROUND('Ugrad IU'!M24,1)</f>
        <v>-302780</v>
      </c>
      <c r="F23" s="412">
        <v>0</v>
      </c>
      <c r="G23" s="412">
        <v>0</v>
      </c>
      <c r="H23" s="412">
        <f>'Ugrad Summer'!F22</f>
        <v>12602.505578814136</v>
      </c>
      <c r="I23" s="347">
        <f>+'Ugrad Winter'!D21</f>
        <v>0</v>
      </c>
      <c r="J23" s="425">
        <f t="shared" si="0"/>
        <v>-290177.49442118587</v>
      </c>
      <c r="K23" s="412"/>
      <c r="L23" s="424">
        <f>ROUND('Grad Fall_Spring'!G23,1)</f>
        <v>3062954</v>
      </c>
      <c r="M23" s="347">
        <f>ROUND('Grad Summer'!F23,1)</f>
        <v>4135.8999999999996</v>
      </c>
      <c r="N23" s="440">
        <f t="shared" si="1"/>
        <v>3067089.9</v>
      </c>
      <c r="O23" s="412"/>
      <c r="P23" s="439">
        <v>0</v>
      </c>
      <c r="Q23" s="412">
        <v>0</v>
      </c>
      <c r="R23" s="412"/>
      <c r="S23" s="412">
        <f>ROUND('Other Income'!M22,1)</f>
        <v>609000</v>
      </c>
      <c r="T23" s="425">
        <f t="shared" si="5"/>
        <v>609000</v>
      </c>
      <c r="U23" s="412"/>
      <c r="V23" s="440">
        <f>-E23</f>
        <v>302780</v>
      </c>
      <c r="W23" s="412"/>
      <c r="X23" s="440">
        <f>J23+N23+T23+V23</f>
        <v>3688692.405578814</v>
      </c>
      <c r="Y23" s="420"/>
      <c r="Z23" s="440">
        <f>ROUND(X53,1)</f>
        <v>4197614.3</v>
      </c>
      <c r="AA23" s="420"/>
      <c r="AB23" s="440">
        <f t="shared" si="4"/>
        <v>-508921.89442118583</v>
      </c>
    </row>
    <row r="24" spans="1:30" ht="15" customHeight="1">
      <c r="A24" s="34" t="s">
        <v>25</v>
      </c>
      <c r="B24" s="7"/>
      <c r="C24" s="7"/>
      <c r="D24" s="424">
        <f>ROUND('Ugrad Enrollment'!M23,1)</f>
        <v>663750</v>
      </c>
      <c r="E24" s="412">
        <f>ROUND('Ugrad IU'!M25,1)</f>
        <v>603065</v>
      </c>
      <c r="F24" s="412">
        <v>0</v>
      </c>
      <c r="G24" s="412">
        <v>0</v>
      </c>
      <c r="H24" s="412">
        <f>'Ugrad Summer'!F23</f>
        <v>26555.279612501217</v>
      </c>
      <c r="I24" s="347">
        <f>+'Ugrad Winter'!D22</f>
        <v>0</v>
      </c>
      <c r="J24" s="425">
        <f t="shared" si="0"/>
        <v>1293370.2796125012</v>
      </c>
      <c r="K24" s="412"/>
      <c r="L24" s="424">
        <f>ROUND('Grad Fall_Spring'!G24,1)</f>
        <v>2268453.9</v>
      </c>
      <c r="M24" s="347">
        <f>ROUND('Grad Summer'!F24,1)</f>
        <v>605637.19999999995</v>
      </c>
      <c r="N24" s="440">
        <f t="shared" si="1"/>
        <v>2874091.0999999996</v>
      </c>
      <c r="O24" s="412"/>
      <c r="P24" s="439">
        <v>0</v>
      </c>
      <c r="Q24" s="412">
        <v>0</v>
      </c>
      <c r="R24" s="412"/>
      <c r="S24" s="412">
        <f>ROUND('Other Income'!M23,1)</f>
        <v>1222601.6000000001</v>
      </c>
      <c r="T24" s="425">
        <f t="shared" si="5"/>
        <v>1222601.6000000001</v>
      </c>
      <c r="U24" s="412"/>
      <c r="V24" s="440">
        <v>0</v>
      </c>
      <c r="W24" s="412"/>
      <c r="X24" s="440">
        <f t="shared" si="2"/>
        <v>5390062.9796125013</v>
      </c>
      <c r="Y24" s="420"/>
      <c r="Z24" s="440">
        <f t="shared" si="3"/>
        <v>5114905.229598376</v>
      </c>
      <c r="AA24" s="420"/>
      <c r="AB24" s="440">
        <f t="shared" si="4"/>
        <v>275157.75001412537</v>
      </c>
    </row>
    <row r="25" spans="1:30" ht="15" customHeight="1">
      <c r="A25" s="34" t="s">
        <v>211</v>
      </c>
      <c r="B25" s="7"/>
      <c r="C25" s="7"/>
      <c r="D25" s="424">
        <v>0</v>
      </c>
      <c r="E25" s="412">
        <v>0</v>
      </c>
      <c r="F25" s="412">
        <v>0</v>
      </c>
      <c r="G25" s="412">
        <v>0</v>
      </c>
      <c r="H25" s="412">
        <f>'Ugrad Summer'!F24</f>
        <v>0</v>
      </c>
      <c r="I25" s="347">
        <f>+'Ugrad Winter'!D23</f>
        <v>0</v>
      </c>
      <c r="J25" s="425">
        <f t="shared" si="0"/>
        <v>0</v>
      </c>
      <c r="K25" s="412"/>
      <c r="L25" s="424">
        <f>ROUND('Grad Fall_Spring'!G25,1)</f>
        <v>0</v>
      </c>
      <c r="M25" s="347">
        <v>0</v>
      </c>
      <c r="N25" s="440">
        <f t="shared" si="1"/>
        <v>0</v>
      </c>
      <c r="O25" s="412"/>
      <c r="P25" s="439">
        <v>0</v>
      </c>
      <c r="Q25" s="412">
        <v>0</v>
      </c>
      <c r="R25" s="412"/>
      <c r="S25" s="412">
        <f>ROUND('Other Income'!M24,1)</f>
        <v>0</v>
      </c>
      <c r="T25" s="425">
        <f t="shared" si="5"/>
        <v>0</v>
      </c>
      <c r="U25" s="412"/>
      <c r="V25" s="440">
        <v>0</v>
      </c>
      <c r="W25" s="412"/>
      <c r="X25" s="440">
        <f t="shared" si="2"/>
        <v>0</v>
      </c>
      <c r="Y25" s="420"/>
      <c r="Z25" s="440">
        <f>ROUND(X55,1)</f>
        <v>1339088.3</v>
      </c>
      <c r="AA25" s="420"/>
      <c r="AB25" s="440">
        <f t="shared" si="4"/>
        <v>-1339088.3</v>
      </c>
    </row>
    <row r="26" spans="1:30" ht="15" customHeight="1">
      <c r="A26" s="34" t="s">
        <v>286</v>
      </c>
      <c r="B26" s="7"/>
      <c r="C26" s="7"/>
      <c r="D26" s="424">
        <v>0</v>
      </c>
      <c r="E26" s="412">
        <f>ROUND('Ugrad IU'!M26,1)</f>
        <v>192892</v>
      </c>
      <c r="F26" s="412">
        <v>0</v>
      </c>
      <c r="G26" s="412">
        <v>0</v>
      </c>
      <c r="H26" s="412">
        <f>'Ugrad Summer'!F25</f>
        <v>7201.4317593223641</v>
      </c>
      <c r="I26" s="347">
        <f>+'Ugrad Winter'!D24</f>
        <v>0</v>
      </c>
      <c r="J26" s="425">
        <f>SUM(D26:I26)</f>
        <v>200093.43175932235</v>
      </c>
      <c r="K26" s="412"/>
      <c r="L26" s="424">
        <f>ROUND('Grad Fall_Spring'!G26,1)</f>
        <v>6630528</v>
      </c>
      <c r="M26" s="347">
        <f>ROUND('Grad Summer'!F26,1)</f>
        <v>193279.9</v>
      </c>
      <c r="N26" s="440">
        <f t="shared" si="1"/>
        <v>6823807.9000000004</v>
      </c>
      <c r="O26" s="412"/>
      <c r="P26" s="439">
        <v>0</v>
      </c>
      <c r="Q26" s="412">
        <v>0</v>
      </c>
      <c r="R26" s="412"/>
      <c r="S26" s="412">
        <f>ROUND('Other Income'!M25,1)</f>
        <v>3345147.1</v>
      </c>
      <c r="T26" s="425">
        <f t="shared" si="5"/>
        <v>3345147.1</v>
      </c>
      <c r="U26" s="412"/>
      <c r="V26" s="440">
        <v>0</v>
      </c>
      <c r="W26" s="412"/>
      <c r="X26" s="440">
        <f t="shared" si="2"/>
        <v>10369048.431759322</v>
      </c>
      <c r="Y26" s="420"/>
      <c r="Z26" s="440">
        <f t="shared" si="3"/>
        <v>8872534.5734010767</v>
      </c>
      <c r="AA26" s="420"/>
      <c r="AB26" s="440">
        <f t="shared" si="4"/>
        <v>1496513.8583582453</v>
      </c>
    </row>
    <row r="27" spans="1:30" ht="15" customHeight="1">
      <c r="A27" s="35" t="s">
        <v>355</v>
      </c>
      <c r="B27" s="8"/>
      <c r="C27" s="8"/>
      <c r="D27" s="442">
        <v>0</v>
      </c>
      <c r="E27" s="413">
        <v>0</v>
      </c>
      <c r="F27" s="413">
        <v>0</v>
      </c>
      <c r="G27" s="413">
        <v>0</v>
      </c>
      <c r="H27" s="413">
        <v>0</v>
      </c>
      <c r="I27" s="443">
        <v>0</v>
      </c>
      <c r="J27" s="445">
        <f>SUM(D27:I27)</f>
        <v>0</v>
      </c>
      <c r="K27" s="412"/>
      <c r="L27" s="442">
        <v>0</v>
      </c>
      <c r="M27" s="413">
        <v>0</v>
      </c>
      <c r="N27" s="446">
        <f t="shared" si="1"/>
        <v>0</v>
      </c>
      <c r="O27" s="412"/>
      <c r="P27" s="444">
        <f>+'Prof &amp; SS UPDATE'!G18</f>
        <v>1862192</v>
      </c>
      <c r="Q27" s="413">
        <v>0</v>
      </c>
      <c r="R27" s="413"/>
      <c r="S27" s="413">
        <v>0</v>
      </c>
      <c r="T27" s="445">
        <f t="shared" si="5"/>
        <v>1862192</v>
      </c>
      <c r="U27" s="412"/>
      <c r="V27" s="446"/>
      <c r="W27" s="412"/>
      <c r="X27" s="440">
        <f t="shared" si="2"/>
        <v>1862192</v>
      </c>
      <c r="Y27" s="420"/>
      <c r="Z27" s="446">
        <v>0</v>
      </c>
      <c r="AA27" s="420"/>
      <c r="AB27" s="440">
        <f t="shared" si="4"/>
        <v>1862192</v>
      </c>
    </row>
    <row r="28" spans="1:30" ht="22.5" customHeight="1">
      <c r="A28" s="37"/>
      <c r="B28" s="38"/>
      <c r="C28" s="38" t="s">
        <v>2</v>
      </c>
      <c r="D28" s="451">
        <f>SUBTOTAL(9,D9:D27)</f>
        <v>64220475</v>
      </c>
      <c r="E28" s="452">
        <f t="shared" ref="E28:J28" si="6">SUBTOTAL(9,E9:E27)</f>
        <v>67856700</v>
      </c>
      <c r="F28" s="452">
        <f t="shared" si="6"/>
        <v>66848899.600000001</v>
      </c>
      <c r="G28" s="452">
        <f t="shared" si="6"/>
        <v>0</v>
      </c>
      <c r="H28" s="452">
        <f t="shared" si="6"/>
        <v>15107351.264833027</v>
      </c>
      <c r="I28" s="448">
        <f t="shared" si="6"/>
        <v>2434772.1</v>
      </c>
      <c r="J28" s="453">
        <f t="shared" si="6"/>
        <v>216468197.96483305</v>
      </c>
      <c r="K28" s="454"/>
      <c r="L28" s="451">
        <f>SUBTOTAL(9,L9:L27)</f>
        <v>37652711.399999991</v>
      </c>
      <c r="M28" s="452">
        <f>SUBTOTAL(9,M9:M27)</f>
        <v>2150027.9999999995</v>
      </c>
      <c r="N28" s="453">
        <f>SUBTOTAL(9,N9:N27)</f>
        <v>39802739.399999999</v>
      </c>
      <c r="O28" s="454"/>
      <c r="P28" s="451">
        <f>SUBTOTAL(9,P9:P27)</f>
        <v>39976521</v>
      </c>
      <c r="Q28" s="452">
        <f>SUBTOTAL(9,Q9:Q27)</f>
        <v>60092095</v>
      </c>
      <c r="R28" s="452">
        <f>SUBTOTAL(9,R9:R27)</f>
        <v>7968736.4598017354</v>
      </c>
      <c r="S28" s="452">
        <f>SUBTOTAL(9,S9:S27)</f>
        <v>13763154.4</v>
      </c>
      <c r="T28" s="453">
        <f>+SUM(T9:T27)</f>
        <v>121800506.85980171</v>
      </c>
      <c r="U28" s="454"/>
      <c r="V28" s="453">
        <f>SUBTOTAL(9,V9:V27)</f>
        <v>196414.38927076233</v>
      </c>
      <c r="W28" s="454"/>
      <c r="X28" s="453">
        <f>SUBTOTAL(9,X9:X27)</f>
        <v>378267858.61390543</v>
      </c>
      <c r="Y28" s="420"/>
      <c r="Z28" s="453">
        <f>SUBTOTAL(9,Z9:Z27)</f>
        <v>365887694.48898607</v>
      </c>
      <c r="AA28" s="420"/>
      <c r="AB28" s="453">
        <f>SUBTOTAL(9,AB9:AB27)</f>
        <v>12380164.124919459</v>
      </c>
    </row>
    <row r="29" spans="1:30" hidden="1">
      <c r="D29" s="2">
        <f>+'Ugrad Enrollment'!M24-D28</f>
        <v>0</v>
      </c>
      <c r="E29" s="2">
        <f>+'Ugrad IU'!M27-'Total Tuition '!E28</f>
        <v>0</v>
      </c>
      <c r="F29" s="2">
        <f>+F28-'Ugrad Differential'!F15</f>
        <v>9.5350585877895355E-2</v>
      </c>
      <c r="H29" s="2">
        <f>+H28-'Ugrad Summer'!F26</f>
        <v>-3.5166971385478973E-2</v>
      </c>
      <c r="L29" s="2">
        <f>L28-'Grad Fall_Spring'!G27</f>
        <v>-0.12133483588695526</v>
      </c>
      <c r="M29" s="2">
        <f>M28-'Grad Summer'!F27</f>
        <v>9.3499999959021807E-2</v>
      </c>
      <c r="P29" s="2">
        <f>P28-'Prof &amp; SS UPDATE'!G14-'Prof &amp; SS UPDATE'!G17</f>
        <v>1862192</v>
      </c>
      <c r="Q29" s="2">
        <f>Q28-'Prof &amp; SS UPDATE'!G10-'Prof &amp; SS UPDATE'!G12-'Prof &amp; SS UPDATE'!G13-'Prof &amp; SS UPDATE'!G15-'Prof &amp; SS UPDATE'!G16</f>
        <v>106875</v>
      </c>
      <c r="Z29" s="81"/>
      <c r="AB29" s="81"/>
    </row>
    <row r="30" spans="1:30" hidden="1">
      <c r="N30" s="286"/>
      <c r="X30" s="2">
        <f>X28-'Ugrad IU'!M27-'Ugrad Enrollment'!M24-'Ugrad Summer'!F26-'Ugrad Differential'!F15-'Grad Fall_Spring'!G27-'Grad Summer'!F27-'Prof &amp; SS UPDATE'!G19-'Other Income'!M26</f>
        <v>10599922.989472168</v>
      </c>
      <c r="Z30" s="2" t="s">
        <v>224</v>
      </c>
      <c r="AB30" s="81"/>
    </row>
    <row r="31" spans="1:30" hidden="1">
      <c r="M31" s="361"/>
      <c r="N31" s="361"/>
    </row>
    <row r="32" spans="1:30" hidden="1"/>
    <row r="33" spans="1:256" hidden="1"/>
    <row r="35" spans="1:256">
      <c r="E35" s="77"/>
    </row>
    <row r="36" spans="1:256">
      <c r="A36" s="1" t="s">
        <v>362</v>
      </c>
    </row>
    <row r="37" spans="1:256" ht="19.5" customHeight="1">
      <c r="A37" s="596"/>
      <c r="B37" s="597"/>
      <c r="C37" s="597"/>
      <c r="D37" s="629" t="s">
        <v>58</v>
      </c>
      <c r="E37" s="630"/>
      <c r="F37" s="630"/>
      <c r="G37" s="630"/>
      <c r="H37" s="630"/>
      <c r="I37" s="598"/>
      <c r="J37" s="370"/>
      <c r="L37" s="629" t="s">
        <v>60</v>
      </c>
      <c r="M37" s="630"/>
      <c r="N37" s="372"/>
      <c r="P37" s="629" t="s">
        <v>61</v>
      </c>
      <c r="Q37" s="630"/>
      <c r="R37" s="630"/>
      <c r="S37" s="630"/>
      <c r="T37" s="370"/>
      <c r="V37" s="372"/>
      <c r="X37" s="372"/>
      <c r="Z37" s="296"/>
      <c r="AA37" s="6"/>
      <c r="AB37" s="296"/>
    </row>
    <row r="38" spans="1:256" s="1" customFormat="1" ht="35.25" customHeight="1">
      <c r="A38" s="365" t="s">
        <v>29</v>
      </c>
      <c r="B38" s="366"/>
      <c r="C38" s="366"/>
      <c r="D38" s="367" t="s">
        <v>10</v>
      </c>
      <c r="E38" s="559" t="s">
        <v>52</v>
      </c>
      <c r="F38" s="559" t="s">
        <v>64</v>
      </c>
      <c r="G38" s="559" t="s">
        <v>59</v>
      </c>
      <c r="H38" s="559" t="s">
        <v>30</v>
      </c>
      <c r="I38" s="560" t="s">
        <v>250</v>
      </c>
      <c r="J38" s="371" t="s">
        <v>225</v>
      </c>
      <c r="K38" s="74"/>
      <c r="L38" s="367" t="s">
        <v>48</v>
      </c>
      <c r="M38" s="368" t="s">
        <v>30</v>
      </c>
      <c r="N38" s="371" t="s">
        <v>226</v>
      </c>
      <c r="O38" s="74"/>
      <c r="P38" s="369" t="s">
        <v>53</v>
      </c>
      <c r="Q38" s="368" t="s">
        <v>56</v>
      </c>
      <c r="R38" s="368" t="s">
        <v>165</v>
      </c>
      <c r="S38" s="368" t="s">
        <v>63</v>
      </c>
      <c r="T38" s="371" t="s">
        <v>227</v>
      </c>
      <c r="U38" s="74"/>
      <c r="V38" s="371" t="s">
        <v>166</v>
      </c>
      <c r="W38" s="74"/>
      <c r="X38" s="371" t="s">
        <v>363</v>
      </c>
      <c r="Z38" s="74"/>
      <c r="AA38" s="297"/>
      <c r="AB38" s="74"/>
    </row>
    <row r="39" spans="1:256" ht="15" customHeight="1">
      <c r="A39" s="34" t="s">
        <v>11</v>
      </c>
      <c r="B39" s="7"/>
      <c r="C39" s="7"/>
      <c r="D39" s="434">
        <v>4580000</v>
      </c>
      <c r="E39" s="411">
        <v>4980008</v>
      </c>
      <c r="F39" s="411">
        <f>3591460.8+'[2]Summary by Category'!$E$14</f>
        <v>3553202.7156640142</v>
      </c>
      <c r="G39" s="411">
        <v>0</v>
      </c>
      <c r="H39" s="411">
        <f>531830.9+[1]Summary!$B$4</f>
        <v>518435.90179227665</v>
      </c>
      <c r="I39" s="411">
        <f>118370.661233595+'[2]Summary by Category'!$E$5</f>
        <v>95227.020955747445</v>
      </c>
      <c r="J39" s="436">
        <f>SUM(D39:I39)</f>
        <v>13726873.638412038</v>
      </c>
      <c r="K39" s="412"/>
      <c r="L39" s="434">
        <f>553031+'[2]Summary by Category'!$E$28</f>
        <v>498537.9</v>
      </c>
      <c r="M39" s="421">
        <f>60859.9+[1]Summary!$C$4</f>
        <v>73953.75</v>
      </c>
      <c r="N39" s="437">
        <f>SUBTOTAL(9,L39:M39)</f>
        <v>572491.65</v>
      </c>
      <c r="O39" s="412"/>
      <c r="P39" s="435">
        <v>0</v>
      </c>
      <c r="Q39" s="411">
        <v>0</v>
      </c>
      <c r="R39" s="411">
        <f>40305+'[2]Summary by Category'!$E$22</f>
        <v>48962</v>
      </c>
      <c r="S39" s="411">
        <f>809974+'[2]Summary by Category'!$E$62+'[2]Summary by Category'!$E$87+'[2]Summary by Category'!$E$88+'[2]Summary by Category'!$E$93</f>
        <v>921666.02105136169</v>
      </c>
      <c r="T39" s="436">
        <f>SUBTOTAL(9,P39:S39)</f>
        <v>970628.02105136169</v>
      </c>
      <c r="U39" s="412"/>
      <c r="V39" s="437">
        <v>0</v>
      </c>
      <c r="W39" s="412"/>
      <c r="X39" s="437">
        <f>+V39+T39+N39+J39</f>
        <v>15269993.3094634</v>
      </c>
      <c r="Y39" s="420"/>
      <c r="Z39" s="412"/>
      <c r="AA39" s="412"/>
      <c r="AB39" s="412"/>
    </row>
    <row r="40" spans="1:256" ht="15" customHeight="1">
      <c r="A40" s="34" t="s">
        <v>12</v>
      </c>
      <c r="B40" s="7"/>
      <c r="C40" s="7"/>
      <c r="D40" s="424">
        <v>6232100</v>
      </c>
      <c r="E40" s="412">
        <v>3889404</v>
      </c>
      <c r="F40" s="412">
        <f>11618504.7+'[2]Summary by Category'!$E$15</f>
        <v>12000921.909789786</v>
      </c>
      <c r="G40" s="412">
        <v>0</v>
      </c>
      <c r="H40" s="412">
        <f>1746808.2+[1]Summary!$B$5</f>
        <v>1765128.6226987911</v>
      </c>
      <c r="I40" s="412">
        <f>496541.86465521+'[2]Summary by Category'!$E$6</f>
        <v>446628.14053892787</v>
      </c>
      <c r="J40" s="425">
        <f t="shared" ref="J40:J55" si="7">SUM(D40:I40)</f>
        <v>24334182.673027504</v>
      </c>
      <c r="K40" s="412"/>
      <c r="L40" s="424">
        <f>50043+'[2]Summary by Category'!$E$29</f>
        <v>334586.86623741616</v>
      </c>
      <c r="M40" s="347">
        <f>34359.6+[1]Summary!$C$5</f>
        <v>31195.197500000002</v>
      </c>
      <c r="N40" s="440">
        <f>SUBTOTAL(9,L40:M40)</f>
        <v>365782.06373741617</v>
      </c>
      <c r="O40" s="412"/>
      <c r="P40" s="439">
        <v>0</v>
      </c>
      <c r="Q40" s="412">
        <f>33129781+'[2]Summary by Category'!$E$47+'[2]Summary by Category'!$E$57</f>
        <v>34388077.413195379</v>
      </c>
      <c r="R40" s="449">
        <f>376216+'[2]Summary by Category'!$E$23</f>
        <v>417588.29</v>
      </c>
      <c r="S40" s="412">
        <f>4515+'[2]Summary by Category'!$E$63</f>
        <v>3612</v>
      </c>
      <c r="T40" s="425">
        <f>SUBTOTAL(9,P40:S40)</f>
        <v>34809277.703195378</v>
      </c>
      <c r="U40" s="412"/>
      <c r="V40" s="440">
        <v>0</v>
      </c>
      <c r="W40" s="412"/>
      <c r="X40" s="440">
        <f>+V40+T40+N40+J40</f>
        <v>59509242.439960301</v>
      </c>
      <c r="Y40" s="420"/>
      <c r="Z40" s="412"/>
      <c r="AA40" s="412"/>
      <c r="AB40" s="412"/>
    </row>
    <row r="41" spans="1:256" ht="15" customHeight="1">
      <c r="A41" s="294" t="s">
        <v>13</v>
      </c>
      <c r="B41" s="6"/>
      <c r="C41" s="6"/>
      <c r="D41" s="439">
        <v>946950</v>
      </c>
      <c r="E41" s="412">
        <v>1237798</v>
      </c>
      <c r="F41" s="412">
        <v>0</v>
      </c>
      <c r="G41" s="412">
        <v>0</v>
      </c>
      <c r="H41" s="412">
        <f>320916.5+[1]Summary!$B$6</f>
        <v>110214.02191173594</v>
      </c>
      <c r="I41" s="412">
        <v>0</v>
      </c>
      <c r="J41" s="440">
        <f t="shared" si="7"/>
        <v>2294962.0219117361</v>
      </c>
      <c r="K41" s="412"/>
      <c r="L41" s="439">
        <f>1440664+'[2]Summary by Category'!$E$30</f>
        <v>1328641.56</v>
      </c>
      <c r="M41" s="347">
        <f>147638.6+[1]Summary!$C$6</f>
        <v>194048.9975</v>
      </c>
      <c r="N41" s="440">
        <f t="shared" ref="N41:N56" si="8">SUBTOTAL(9,L41:M41)</f>
        <v>1522690.5575000001</v>
      </c>
      <c r="O41" s="412"/>
      <c r="P41" s="439">
        <v>0</v>
      </c>
      <c r="Q41" s="412">
        <v>0</v>
      </c>
      <c r="R41" s="412"/>
      <c r="S41" s="412">
        <f>1975382+'[2]Summary by Category'!$E$64+'[2]Summary by Category'!$E$94</f>
        <v>2424087.4304735749</v>
      </c>
      <c r="T41" s="425">
        <f t="shared" ref="T41:T56" si="9">SUBTOTAL(9,P41:S41)</f>
        <v>2424087.4304735749</v>
      </c>
      <c r="U41" s="412"/>
      <c r="V41" s="440">
        <v>0</v>
      </c>
      <c r="W41" s="412"/>
      <c r="X41" s="440">
        <f t="shared" ref="X41:X56" si="10">+V41+T41+N41+J41</f>
        <v>6241740.0098853111</v>
      </c>
      <c r="Y41" s="449"/>
      <c r="Z41" s="412"/>
      <c r="AA41" s="412"/>
      <c r="AB41" s="412"/>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c r="FQ41" s="77"/>
      <c r="FR41" s="77"/>
      <c r="FS41" s="77"/>
      <c r="FT41" s="77"/>
      <c r="FU41" s="77"/>
      <c r="FV41" s="77"/>
      <c r="FW41" s="77"/>
      <c r="FX41" s="77"/>
      <c r="FY41" s="77"/>
      <c r="FZ41" s="77"/>
      <c r="GA41" s="77"/>
      <c r="GB41" s="77"/>
      <c r="GC41" s="77"/>
      <c r="GD41" s="77"/>
      <c r="GE41" s="77"/>
      <c r="GF41" s="77"/>
      <c r="GG41" s="77"/>
      <c r="GH41" s="77"/>
      <c r="GI41" s="77"/>
      <c r="GJ41" s="77"/>
      <c r="GK41" s="77"/>
      <c r="GL41" s="77"/>
      <c r="GM41" s="77"/>
      <c r="GN41" s="77"/>
      <c r="GO41" s="77"/>
      <c r="GP41" s="77"/>
      <c r="GQ41" s="77"/>
      <c r="GR41" s="77"/>
      <c r="GS41" s="77"/>
      <c r="GT41" s="77"/>
      <c r="GU41" s="77"/>
      <c r="GV41" s="77"/>
      <c r="GW41" s="77"/>
      <c r="GX41" s="77"/>
      <c r="GY41" s="77"/>
      <c r="GZ41" s="77"/>
      <c r="HA41" s="77"/>
      <c r="HB41" s="77"/>
      <c r="HC41" s="77"/>
      <c r="HD41" s="77"/>
      <c r="HE41" s="77"/>
      <c r="HF41" s="77"/>
      <c r="HG41" s="77"/>
      <c r="HH41" s="77"/>
      <c r="HI41" s="77"/>
      <c r="HJ41" s="77"/>
      <c r="HK41" s="77"/>
      <c r="HL41" s="77"/>
      <c r="HM41" s="77"/>
      <c r="HN41" s="77"/>
      <c r="HO41" s="77"/>
      <c r="HP41" s="77"/>
      <c r="HQ41" s="77"/>
      <c r="HR41" s="77"/>
      <c r="HS41" s="77"/>
      <c r="HT41" s="77"/>
      <c r="HU41" s="77"/>
      <c r="HV41" s="77"/>
      <c r="HW41" s="77"/>
      <c r="HX41" s="77"/>
      <c r="HY41" s="77"/>
      <c r="HZ41" s="77"/>
      <c r="IA41" s="77"/>
      <c r="IB41" s="77"/>
      <c r="IC41" s="77"/>
      <c r="ID41" s="77"/>
      <c r="IE41" s="77"/>
      <c r="IF41" s="77"/>
      <c r="IG41" s="77"/>
      <c r="IH41" s="77"/>
      <c r="II41" s="77"/>
      <c r="IJ41" s="77"/>
      <c r="IK41" s="77"/>
      <c r="IL41" s="77"/>
      <c r="IM41" s="77"/>
      <c r="IN41" s="77"/>
      <c r="IO41" s="77"/>
      <c r="IP41" s="77"/>
      <c r="IQ41" s="77"/>
      <c r="IR41" s="77"/>
      <c r="IS41" s="77"/>
      <c r="IT41" s="77"/>
      <c r="IU41" s="77"/>
      <c r="IV41" s="77"/>
    </row>
    <row r="42" spans="1:256" s="77" customFormat="1" ht="15" customHeight="1">
      <c r="A42" s="294" t="s">
        <v>14</v>
      </c>
      <c r="B42" s="6"/>
      <c r="C42" s="6"/>
      <c r="D42" s="439">
        <v>16586450</v>
      </c>
      <c r="E42" s="412">
        <v>14730828</v>
      </c>
      <c r="F42" s="412">
        <f>30721901.3+'[2]Summary by Category'!$E$16</f>
        <v>30497253.84983879</v>
      </c>
      <c r="G42" s="412">
        <v>0</v>
      </c>
      <c r="H42" s="412">
        <f>2803500.2+[1]Summary!$B$7</f>
        <v>2657531.9000000004</v>
      </c>
      <c r="I42" s="412">
        <f>28695.9178748109+'[2]Summary by Category'!$E$7</f>
        <v>33083.565965846508</v>
      </c>
      <c r="J42" s="440">
        <f t="shared" si="7"/>
        <v>64505147.315804638</v>
      </c>
      <c r="K42" s="412"/>
      <c r="L42" s="439">
        <f>13053751+'[2]Summary by Category'!$E$31</f>
        <v>14172075.540819161</v>
      </c>
      <c r="M42" s="347">
        <f>449217+[1]Summary!$C$7</f>
        <v>437314.4</v>
      </c>
      <c r="N42" s="440">
        <f t="shared" si="8"/>
        <v>14609389.940819161</v>
      </c>
      <c r="O42" s="412"/>
      <c r="P42" s="439">
        <v>0</v>
      </c>
      <c r="Q42" s="412">
        <f>7551837+'[2]Summary by Category'!$E$48+'[2]Summary by Category'!$E$58</f>
        <v>8570079.0550178457</v>
      </c>
      <c r="R42" s="412">
        <f>4691418+'[2]Summary by Category'!$E$24</f>
        <v>4783980.42</v>
      </c>
      <c r="S42" s="412">
        <f>1600000+'[2]Summary by Category'!$E$65</f>
        <v>1853134.3899999997</v>
      </c>
      <c r="T42" s="425">
        <f t="shared" si="9"/>
        <v>15207193.865017846</v>
      </c>
      <c r="U42" s="412"/>
      <c r="V42" s="440">
        <v>0</v>
      </c>
      <c r="W42" s="412"/>
      <c r="X42" s="440">
        <f t="shared" si="10"/>
        <v>94321731.121641636</v>
      </c>
      <c r="Y42" s="449"/>
      <c r="Z42" s="412"/>
      <c r="AA42" s="412"/>
      <c r="AB42" s="412"/>
    </row>
    <row r="43" spans="1:256" s="379" customFormat="1" ht="15" customHeight="1">
      <c r="A43" s="294" t="s">
        <v>15</v>
      </c>
      <c r="B43" s="6"/>
      <c r="C43" s="6"/>
      <c r="D43" s="439">
        <v>3024250</v>
      </c>
      <c r="E43" s="412">
        <v>4108863</v>
      </c>
      <c r="F43" s="412">
        <f>2079970.3+'[2]Summary by Category'!$E$17+'[2]Summary by Category'!$E$101</f>
        <v>2119191.6308617061</v>
      </c>
      <c r="G43" s="412">
        <v>0</v>
      </c>
      <c r="H43" s="412">
        <f>814202.4+[1]Summary!$B$8</f>
        <v>793554.03528172371</v>
      </c>
      <c r="I43" s="412">
        <f>236741.32246719+'[2]Summary by Category'!$E$8</f>
        <v>257515.32427469722</v>
      </c>
      <c r="J43" s="440">
        <f t="shared" si="7"/>
        <v>10303373.990418127</v>
      </c>
      <c r="K43" s="412"/>
      <c r="L43" s="439">
        <f>5801107.1+'[2]Summary by Category'!$E$32</f>
        <v>5525627.3089965675</v>
      </c>
      <c r="M43" s="347">
        <f>276393+[1]Summary!$C$8</f>
        <v>218497.71049999999</v>
      </c>
      <c r="N43" s="440">
        <f t="shared" si="8"/>
        <v>5744125.0194965675</v>
      </c>
      <c r="O43" s="412"/>
      <c r="P43" s="439">
        <v>0</v>
      </c>
      <c r="Q43" s="412">
        <v>0</v>
      </c>
      <c r="R43" s="412"/>
      <c r="S43" s="412">
        <f>23340+'[2]Summary by Category'!$E$66+'[2]Summary by Category'!$E$95</f>
        <v>47594.8</v>
      </c>
      <c r="T43" s="425">
        <f t="shared" si="9"/>
        <v>47594.8</v>
      </c>
      <c r="U43" s="412"/>
      <c r="V43" s="440">
        <v>0</v>
      </c>
      <c r="W43" s="412"/>
      <c r="X43" s="440">
        <f t="shared" si="10"/>
        <v>16095093.809914693</v>
      </c>
      <c r="Y43" s="449"/>
      <c r="Z43" s="412"/>
      <c r="AA43" s="412"/>
      <c r="AB43" s="412"/>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c r="FO43" s="77"/>
      <c r="FP43" s="77"/>
      <c r="FQ43" s="77"/>
      <c r="FR43" s="77"/>
      <c r="FS43" s="77"/>
      <c r="FT43" s="77"/>
      <c r="FU43" s="77"/>
      <c r="FV43" s="77"/>
      <c r="FW43" s="77"/>
      <c r="FX43" s="77"/>
      <c r="FY43" s="77"/>
      <c r="FZ43" s="77"/>
      <c r="GA43" s="77"/>
      <c r="GB43" s="77"/>
      <c r="GC43" s="77"/>
      <c r="GD43" s="77"/>
      <c r="GE43" s="77"/>
      <c r="GF43" s="77"/>
      <c r="GG43" s="77"/>
      <c r="GH43" s="77"/>
      <c r="GI43" s="77"/>
      <c r="GJ43" s="77"/>
      <c r="GK43" s="77"/>
      <c r="GL43" s="77"/>
      <c r="GM43" s="77"/>
      <c r="GN43" s="77"/>
      <c r="GO43" s="77"/>
      <c r="GP43" s="77"/>
      <c r="GQ43" s="77"/>
      <c r="GR43" s="77"/>
      <c r="GS43" s="77"/>
      <c r="GT43" s="77"/>
      <c r="GU43" s="77"/>
      <c r="GV43" s="77"/>
      <c r="GW43" s="77"/>
      <c r="GX43" s="77"/>
      <c r="GY43" s="77"/>
      <c r="GZ43" s="77"/>
      <c r="HA43" s="77"/>
      <c r="HB43" s="77"/>
      <c r="HC43" s="77"/>
      <c r="HD43" s="77"/>
      <c r="HE43" s="77"/>
      <c r="HF43" s="77"/>
      <c r="HG43" s="77"/>
      <c r="HH43" s="77"/>
      <c r="HI43" s="77"/>
      <c r="HJ43" s="77"/>
      <c r="HK43" s="77"/>
      <c r="HL43" s="77"/>
      <c r="HM43" s="77"/>
      <c r="HN43" s="77"/>
      <c r="HO43" s="77"/>
      <c r="HP43" s="77"/>
      <c r="HQ43" s="77"/>
      <c r="HR43" s="77"/>
      <c r="HS43" s="77"/>
      <c r="HT43" s="77"/>
      <c r="HU43" s="77"/>
      <c r="HV43" s="77"/>
      <c r="HW43" s="77"/>
      <c r="HX43" s="77"/>
      <c r="HY43" s="77"/>
      <c r="HZ43" s="77"/>
      <c r="IA43" s="77"/>
      <c r="IB43" s="77"/>
      <c r="IC43" s="77"/>
      <c r="ID43" s="77"/>
      <c r="IE43" s="77"/>
      <c r="IF43" s="77"/>
      <c r="IG43" s="77"/>
      <c r="IH43" s="77"/>
      <c r="II43" s="77"/>
      <c r="IJ43" s="77"/>
      <c r="IK43" s="77"/>
      <c r="IL43" s="77"/>
      <c r="IM43" s="77"/>
      <c r="IN43" s="77"/>
      <c r="IO43" s="77"/>
      <c r="IP43" s="77"/>
      <c r="IQ43" s="77"/>
      <c r="IR43" s="77"/>
      <c r="IS43" s="77"/>
      <c r="IT43" s="77"/>
      <c r="IU43" s="77"/>
      <c r="IV43" s="77"/>
    </row>
    <row r="44" spans="1:256" s="77" customFormat="1" ht="15" customHeight="1">
      <c r="A44" s="34" t="s">
        <v>143</v>
      </c>
      <c r="B44" s="7"/>
      <c r="C44" s="7"/>
      <c r="D44" s="424"/>
      <c r="E44" s="412">
        <v>0</v>
      </c>
      <c r="F44" s="412">
        <v>0</v>
      </c>
      <c r="G44" s="412">
        <v>0</v>
      </c>
      <c r="H44" s="412">
        <v>0</v>
      </c>
      <c r="I44" s="412">
        <v>0</v>
      </c>
      <c r="J44" s="425">
        <f t="shared" si="7"/>
        <v>0</v>
      </c>
      <c r="K44" s="412"/>
      <c r="L44" s="424">
        <v>0</v>
      </c>
      <c r="M44" s="347">
        <v>0</v>
      </c>
      <c r="N44" s="440">
        <f t="shared" si="8"/>
        <v>0</v>
      </c>
      <c r="O44" s="412"/>
      <c r="P44" s="439">
        <v>0</v>
      </c>
      <c r="Q44" s="412">
        <f>913187+'[2]Summary by Category'!$E$51</f>
        <v>940902.49512614985</v>
      </c>
      <c r="R44" s="412"/>
      <c r="S44" s="412">
        <v>0</v>
      </c>
      <c r="T44" s="425">
        <f t="shared" si="9"/>
        <v>940902.49512614985</v>
      </c>
      <c r="U44" s="412"/>
      <c r="V44" s="440">
        <v>0</v>
      </c>
      <c r="W44" s="412"/>
      <c r="X44" s="440">
        <f t="shared" si="10"/>
        <v>940902.49512614985</v>
      </c>
      <c r="Y44" s="420"/>
      <c r="Z44" s="412"/>
      <c r="AA44" s="412"/>
      <c r="AB44" s="41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s="77" customFormat="1" ht="15" customHeight="1">
      <c r="A45" s="294" t="s">
        <v>16</v>
      </c>
      <c r="B45" s="6"/>
      <c r="C45" s="6"/>
      <c r="D45" s="439">
        <v>1806450</v>
      </c>
      <c r="E45" s="412">
        <v>1777604</v>
      </c>
      <c r="F45" s="412">
        <f>480037.8+'[2]Summary by Category'!$E$18</f>
        <v>528625.9832667415</v>
      </c>
      <c r="G45" s="412">
        <v>0</v>
      </c>
      <c r="H45" s="412">
        <f>156846.1+[1]Summary!$B$9</f>
        <v>232514.90000000002</v>
      </c>
      <c r="I45" s="347">
        <f>83013.1909949886+'[2]Summary by Category'!$E$9</f>
        <v>57672.702832353993</v>
      </c>
      <c r="J45" s="440">
        <f t="shared" si="7"/>
        <v>4402867.5860990956</v>
      </c>
      <c r="K45" s="412"/>
      <c r="L45" s="439">
        <f>384398+'[2]Summary by Category'!$E$33</f>
        <v>258192.68423424943</v>
      </c>
      <c r="M45" s="347">
        <f>6819.1+[1]Summary!$C$9</f>
        <v>16221.300000000001</v>
      </c>
      <c r="N45" s="440">
        <f t="shared" si="8"/>
        <v>274413.98423424945</v>
      </c>
      <c r="O45" s="412"/>
      <c r="P45" s="439">
        <v>0</v>
      </c>
      <c r="Q45" s="412">
        <v>0</v>
      </c>
      <c r="R45" s="412"/>
      <c r="S45" s="412">
        <f>3612+'[2]Summary by Category'!$E$67</f>
        <v>386748</v>
      </c>
      <c r="T45" s="425">
        <f t="shared" si="9"/>
        <v>386748</v>
      </c>
      <c r="U45" s="412"/>
      <c r="V45" s="440">
        <v>0</v>
      </c>
      <c r="W45" s="412"/>
      <c r="X45" s="440">
        <f t="shared" si="10"/>
        <v>5064029.5703333449</v>
      </c>
      <c r="Y45" s="449"/>
      <c r="Z45" s="412"/>
      <c r="AA45" s="412"/>
      <c r="AB45" s="412"/>
    </row>
    <row r="46" spans="1:256" s="77" customFormat="1" ht="15" customHeight="1">
      <c r="A46" s="294" t="s">
        <v>17</v>
      </c>
      <c r="B46" s="6"/>
      <c r="C46" s="6"/>
      <c r="D46" s="439">
        <v>0</v>
      </c>
      <c r="E46" s="412">
        <v>85869</v>
      </c>
      <c r="F46" s="412">
        <v>0</v>
      </c>
      <c r="G46" s="412">
        <v>0</v>
      </c>
      <c r="H46" s="412">
        <f>6723.11057447481+[1]Summary!$B$10</f>
        <v>4000.0000000000036</v>
      </c>
      <c r="I46" s="347">
        <v>0</v>
      </c>
      <c r="J46" s="440">
        <f t="shared" si="7"/>
        <v>89869</v>
      </c>
      <c r="K46" s="412"/>
      <c r="L46" s="439">
        <v>0</v>
      </c>
      <c r="M46" s="347">
        <v>0</v>
      </c>
      <c r="N46" s="440">
        <f t="shared" si="8"/>
        <v>0</v>
      </c>
      <c r="O46" s="412"/>
      <c r="P46" s="439">
        <f>20901606+'[2]Summary by Category'!$E$50</f>
        <v>20895999.592435952</v>
      </c>
      <c r="Q46" s="412">
        <v>0</v>
      </c>
      <c r="R46" s="412"/>
      <c r="S46" s="412">
        <f>265000+'[2]Summary by Category'!$E$81</f>
        <v>271350.15000000002</v>
      </c>
      <c r="T46" s="425">
        <f t="shared" si="9"/>
        <v>21167349.742435951</v>
      </c>
      <c r="U46" s="412"/>
      <c r="V46" s="440">
        <v>0</v>
      </c>
      <c r="W46" s="412"/>
      <c r="X46" s="440">
        <f t="shared" si="10"/>
        <v>21257218.742435951</v>
      </c>
      <c r="Y46" s="449"/>
      <c r="Z46" s="412"/>
      <c r="AA46" s="412"/>
      <c r="AB46" s="412"/>
    </row>
    <row r="47" spans="1:256" s="77" customFormat="1" ht="15" customHeight="1">
      <c r="A47" s="294" t="s">
        <v>18</v>
      </c>
      <c r="B47" s="6"/>
      <c r="C47" s="6"/>
      <c r="D47" s="439">
        <v>27047450</v>
      </c>
      <c r="E47" s="412">
        <v>29806983</v>
      </c>
      <c r="F47" s="412">
        <f>18725924.6+'[2]Summary by Category'!$E$19</f>
        <v>18644011.087628931</v>
      </c>
      <c r="G47" s="412">
        <v>0</v>
      </c>
      <c r="H47" s="412">
        <f>8041178.98152551+[1]Summary!$B$11</f>
        <v>7869591.4328109305</v>
      </c>
      <c r="I47" s="347">
        <f>1627980.91229061+'[2]Summary by Category'!$E$10</f>
        <v>1450759.0751239439</v>
      </c>
      <c r="J47" s="440">
        <f t="shared" si="7"/>
        <v>84818794.595563814</v>
      </c>
      <c r="K47" s="412"/>
      <c r="L47" s="439">
        <f>1930519+'[2]Summary by Category'!$E$35</f>
        <v>2083169.8020400035</v>
      </c>
      <c r="M47" s="347">
        <f>167146.8+[1]Summary!$C$11</f>
        <v>90006.8</v>
      </c>
      <c r="N47" s="440">
        <f t="shared" si="8"/>
        <v>2173176.6020400035</v>
      </c>
      <c r="O47" s="412"/>
      <c r="P47" s="439">
        <v>0</v>
      </c>
      <c r="Q47" s="412">
        <f>6090055+'[2]Summary by Category'!$E$52+'[2]Summary by Category'!$E$53</f>
        <v>5710675.6749999998</v>
      </c>
      <c r="R47" s="412">
        <f>1185450+'[2]Summary by Category'!$E$25</f>
        <v>1436273.17</v>
      </c>
      <c r="S47" s="412">
        <f>2003014+'[2]Summary by Category'!$E$69+'[2]Summary by Category'!$E$83+'[2]Summary by Category'!$E$85+'[2]Summary by Category'!$E$89+'[2]Summary by Category'!$E$96</f>
        <v>2333487.1797225596</v>
      </c>
      <c r="T47" s="425">
        <f t="shared" si="9"/>
        <v>9480436.0247225594</v>
      </c>
      <c r="U47" s="412"/>
      <c r="V47" s="440">
        <v>0</v>
      </c>
      <c r="W47" s="412"/>
      <c r="X47" s="440">
        <f t="shared" si="10"/>
        <v>96472407.222326383</v>
      </c>
      <c r="Y47" s="449"/>
      <c r="Z47" s="412"/>
      <c r="AA47" s="412"/>
      <c r="AB47" s="412"/>
    </row>
    <row r="48" spans="1:256" s="77" customFormat="1" ht="15" customHeight="1">
      <c r="A48" s="462" t="s">
        <v>19</v>
      </c>
      <c r="B48" s="463"/>
      <c r="C48" s="463"/>
      <c r="D48" s="464">
        <v>0</v>
      </c>
      <c r="E48" s="465">
        <v>215818</v>
      </c>
      <c r="F48" s="465">
        <v>0</v>
      </c>
      <c r="G48" s="465">
        <v>0</v>
      </c>
      <c r="H48" s="465">
        <f>23306.783324846-15308</f>
        <v>7998.7833248460011</v>
      </c>
      <c r="I48" s="467">
        <v>0</v>
      </c>
      <c r="J48" s="466">
        <f t="shared" si="7"/>
        <v>223816.78332484601</v>
      </c>
      <c r="K48" s="465"/>
      <c r="L48" s="464">
        <v>0</v>
      </c>
      <c r="M48" s="467">
        <v>0</v>
      </c>
      <c r="N48" s="440">
        <f t="shared" si="8"/>
        <v>0</v>
      </c>
      <c r="O48" s="465"/>
      <c r="P48" s="464">
        <v>0</v>
      </c>
      <c r="Q48" s="465">
        <v>0</v>
      </c>
      <c r="R48" s="465"/>
      <c r="S48" s="465">
        <v>0</v>
      </c>
      <c r="T48" s="425">
        <f t="shared" si="9"/>
        <v>0</v>
      </c>
      <c r="U48" s="412"/>
      <c r="V48" s="466">
        <f>-J48</f>
        <v>-223816.78332484601</v>
      </c>
      <c r="W48" s="465"/>
      <c r="X48" s="466">
        <f t="shared" si="10"/>
        <v>0</v>
      </c>
      <c r="Y48" s="468"/>
      <c r="Z48" s="412"/>
      <c r="AA48" s="412"/>
      <c r="AB48" s="41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s="77" customFormat="1" ht="15" customHeight="1">
      <c r="A49" s="294" t="s">
        <v>20</v>
      </c>
      <c r="B49" s="6"/>
      <c r="C49" s="6"/>
      <c r="D49" s="439">
        <v>3409050</v>
      </c>
      <c r="E49" s="412">
        <v>6203408</v>
      </c>
      <c r="F49" s="412">
        <v>0</v>
      </c>
      <c r="G49" s="412">
        <v>0</v>
      </c>
      <c r="H49" s="412">
        <f>890139.840060464+[1]Summary!$B$13</f>
        <v>920819.99999999977</v>
      </c>
      <c r="I49" s="347">
        <f>118370.661233595+'[2]Summary by Category'!$E$11</f>
        <v>93885.795308483386</v>
      </c>
      <c r="J49" s="440">
        <f t="shared" si="7"/>
        <v>10627163.795308484</v>
      </c>
      <c r="K49" s="412"/>
      <c r="L49" s="439">
        <f>907193+'[2]Summary by Category'!$E$37</f>
        <v>911658.69886028673</v>
      </c>
      <c r="M49" s="347">
        <f>241432.1+[1]Summary!$C$13</f>
        <v>260325.7</v>
      </c>
      <c r="N49" s="440">
        <f t="shared" si="8"/>
        <v>1171984.3988602867</v>
      </c>
      <c r="O49" s="412"/>
      <c r="P49" s="439">
        <v>0</v>
      </c>
      <c r="Q49" s="412">
        <f>452877+'[2]Summary by Category'!$E$49</f>
        <v>484961</v>
      </c>
      <c r="R49" s="412"/>
      <c r="S49" s="412">
        <f>700000+'[2]Summary by Category'!$E$97+'[2]Summary by Category'!$E$71</f>
        <v>488470.27073066204</v>
      </c>
      <c r="T49" s="425">
        <f t="shared" si="9"/>
        <v>973431.27073066204</v>
      </c>
      <c r="U49" s="412"/>
      <c r="V49" s="440"/>
      <c r="W49" s="412"/>
      <c r="X49" s="440">
        <f t="shared" si="10"/>
        <v>12772579.464899432</v>
      </c>
      <c r="Y49" s="449"/>
      <c r="Z49" s="412"/>
      <c r="AA49" s="412"/>
      <c r="AB49" s="412"/>
    </row>
    <row r="50" spans="1:256" s="77" customFormat="1" ht="15" customHeight="1">
      <c r="A50" s="294" t="s">
        <v>21</v>
      </c>
      <c r="B50" s="6"/>
      <c r="C50" s="6"/>
      <c r="D50" s="439">
        <v>0</v>
      </c>
      <c r="E50" s="412">
        <v>28237</v>
      </c>
      <c r="F50" s="412">
        <v>0</v>
      </c>
      <c r="G50" s="412">
        <v>0</v>
      </c>
      <c r="H50" s="412">
        <f>5826.6958312115+[1]Summary!$B$15</f>
        <v>6666.0000000000018</v>
      </c>
      <c r="I50" s="347">
        <v>0</v>
      </c>
      <c r="J50" s="440">
        <f t="shared" si="7"/>
        <v>34903</v>
      </c>
      <c r="K50" s="412"/>
      <c r="L50" s="439">
        <f>'[2]Summary by Category'!$E$38</f>
        <v>2810.7</v>
      </c>
      <c r="M50" s="347">
        <f>13653.4+[1]Summary!$C$15</f>
        <v>4199</v>
      </c>
      <c r="N50" s="440">
        <f t="shared" si="8"/>
        <v>7009.7</v>
      </c>
      <c r="O50" s="412"/>
      <c r="P50" s="439">
        <f>18133280+'[2]Summary by Category'!$E$54</f>
        <v>18376701.199999999</v>
      </c>
      <c r="Q50" s="412">
        <v>0</v>
      </c>
      <c r="R50" s="412"/>
      <c r="S50" s="412"/>
      <c r="T50" s="425">
        <f t="shared" si="9"/>
        <v>18376701.199999999</v>
      </c>
      <c r="U50" s="412"/>
      <c r="V50" s="440"/>
      <c r="W50" s="412"/>
      <c r="X50" s="440">
        <f t="shared" si="10"/>
        <v>18418613.899999999</v>
      </c>
      <c r="Y50" s="449"/>
      <c r="Z50" s="412"/>
      <c r="AA50" s="412"/>
      <c r="AB50" s="412"/>
    </row>
    <row r="51" spans="1:256" s="77" customFormat="1" ht="15" customHeight="1">
      <c r="A51" s="462" t="s">
        <v>22</v>
      </c>
      <c r="B51" s="463"/>
      <c r="C51" s="463"/>
      <c r="D51" s="464">
        <v>0</v>
      </c>
      <c r="E51" s="465">
        <v>99610</v>
      </c>
      <c r="F51" s="465">
        <v>0</v>
      </c>
      <c r="G51" s="465">
        <v>0</v>
      </c>
      <c r="H51" s="465">
        <v>0</v>
      </c>
      <c r="I51" s="467">
        <v>0</v>
      </c>
      <c r="J51" s="466">
        <f t="shared" si="7"/>
        <v>99610</v>
      </c>
      <c r="K51" s="465"/>
      <c r="L51" s="464">
        <v>0</v>
      </c>
      <c r="M51" s="467">
        <v>0</v>
      </c>
      <c r="N51" s="440">
        <f t="shared" si="8"/>
        <v>0</v>
      </c>
      <c r="O51" s="465"/>
      <c r="P51" s="464">
        <v>0</v>
      </c>
      <c r="Q51" s="465">
        <v>0</v>
      </c>
      <c r="R51" s="465"/>
      <c r="S51" s="465">
        <v>0</v>
      </c>
      <c r="T51" s="425">
        <f t="shared" si="9"/>
        <v>0</v>
      </c>
      <c r="U51" s="412"/>
      <c r="V51" s="466">
        <f>-99610</f>
        <v>-99610</v>
      </c>
      <c r="W51" s="465"/>
      <c r="X51" s="466">
        <f>+V51+T51+N51+J51</f>
        <v>0</v>
      </c>
      <c r="Y51" s="468"/>
      <c r="Z51" s="412"/>
      <c r="AA51" s="412"/>
      <c r="AB51" s="41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s="77" customFormat="1" ht="15" customHeight="1">
      <c r="A52" s="462" t="s">
        <v>23</v>
      </c>
      <c r="B52" s="463"/>
      <c r="C52" s="463"/>
      <c r="D52" s="464">
        <v>-61100</v>
      </c>
      <c r="E52" s="465">
        <v>-90900</v>
      </c>
      <c r="F52" s="465">
        <v>0</v>
      </c>
      <c r="G52" s="465">
        <v>0</v>
      </c>
      <c r="H52" s="465">
        <v>0</v>
      </c>
      <c r="I52" s="467">
        <v>0</v>
      </c>
      <c r="J52" s="466">
        <f>SUM(D52:I52)</f>
        <v>-152000</v>
      </c>
      <c r="K52" s="465"/>
      <c r="L52" s="464">
        <v>0</v>
      </c>
      <c r="M52" s="467">
        <v>0</v>
      </c>
      <c r="N52" s="440">
        <f t="shared" si="8"/>
        <v>0</v>
      </c>
      <c r="O52" s="465"/>
      <c r="P52" s="464">
        <v>0</v>
      </c>
      <c r="Q52" s="465">
        <v>0</v>
      </c>
      <c r="R52" s="465"/>
      <c r="S52" s="465">
        <v>0</v>
      </c>
      <c r="T52" s="425">
        <f t="shared" si="9"/>
        <v>0</v>
      </c>
      <c r="U52" s="412"/>
      <c r="V52" s="466">
        <f>-J52</f>
        <v>152000</v>
      </c>
      <c r="W52" s="465"/>
      <c r="X52" s="466">
        <f>+V52+T52+N52+J52</f>
        <v>0</v>
      </c>
      <c r="Y52" s="468"/>
      <c r="Z52" s="412"/>
      <c r="AA52" s="412"/>
      <c r="AB52" s="41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s="77" customFormat="1" ht="15" customHeight="1">
      <c r="A53" s="34" t="s">
        <v>24</v>
      </c>
      <c r="B53" s="7"/>
      <c r="C53" s="7"/>
      <c r="D53" s="464">
        <v>0</v>
      </c>
      <c r="E53" s="465">
        <v>-43455</v>
      </c>
      <c r="F53" s="412">
        <v>0</v>
      </c>
      <c r="G53" s="412">
        <v>0</v>
      </c>
      <c r="H53" s="412">
        <f>13446.2211489496+[1]Summary!$B$18</f>
        <v>12443.999999999987</v>
      </c>
      <c r="I53" s="347">
        <v>0</v>
      </c>
      <c r="J53" s="425">
        <f t="shared" si="7"/>
        <v>-31011.000000000015</v>
      </c>
      <c r="K53" s="412"/>
      <c r="L53" s="424">
        <f>3201973+'[2]Summary by Category'!$E$41</f>
        <v>3523510.3231604481</v>
      </c>
      <c r="M53" s="347">
        <f>4884.9+[1]Summary!$C$18</f>
        <v>4070.75</v>
      </c>
      <c r="N53" s="440">
        <f t="shared" si="8"/>
        <v>3527581.0731604481</v>
      </c>
      <c r="O53" s="412"/>
      <c r="P53" s="439">
        <v>0</v>
      </c>
      <c r="Q53" s="412">
        <v>0</v>
      </c>
      <c r="R53" s="412"/>
      <c r="S53" s="412">
        <f>600000+'[2]Summary by Category'!$E$75</f>
        <v>657589.23043562367</v>
      </c>
      <c r="T53" s="425">
        <f t="shared" si="9"/>
        <v>657589.23043562367</v>
      </c>
      <c r="U53" s="412"/>
      <c r="V53" s="440">
        <f>-E53</f>
        <v>43455</v>
      </c>
      <c r="W53" s="412"/>
      <c r="X53" s="440">
        <f>+V53+T53+N53+J53</f>
        <v>4197614.3035960719</v>
      </c>
      <c r="Y53" s="420"/>
      <c r="Z53" s="412"/>
      <c r="AA53" s="412"/>
      <c r="AB53" s="41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s="77" customFormat="1" ht="15" customHeight="1">
      <c r="A54" s="34" t="s">
        <v>25</v>
      </c>
      <c r="B54" s="7"/>
      <c r="C54" s="7"/>
      <c r="D54" s="424">
        <v>671250</v>
      </c>
      <c r="E54" s="412">
        <v>624988</v>
      </c>
      <c r="F54" s="412">
        <v>0</v>
      </c>
      <c r="G54" s="412">
        <v>0</v>
      </c>
      <c r="H54" s="412">
        <f>21065.7464666877+[1]Summary!$B$19</f>
        <v>26220.046466687698</v>
      </c>
      <c r="I54" s="347">
        <v>0</v>
      </c>
      <c r="J54" s="425">
        <f t="shared" si="7"/>
        <v>1322458.0464666877</v>
      </c>
      <c r="K54" s="412"/>
      <c r="L54" s="424">
        <f>1979802+'[2]Summary by Category'!$E$42</f>
        <v>1973745.9373417075</v>
      </c>
      <c r="M54" s="347">
        <f>532558.6+[1]Summary!$C$19</f>
        <v>596099.63500000001</v>
      </c>
      <c r="N54" s="440">
        <f t="shared" si="8"/>
        <v>2569845.5723417075</v>
      </c>
      <c r="O54" s="412"/>
      <c r="P54" s="439">
        <v>0</v>
      </c>
      <c r="Q54" s="412">
        <v>0</v>
      </c>
      <c r="R54" s="412"/>
      <c r="S54" s="412">
        <f>1153750+'[2]Summary by Category'!$E$76+'[2]Summary by Category'!$E$90</f>
        <v>1222601.6107899807</v>
      </c>
      <c r="T54" s="425">
        <f t="shared" si="9"/>
        <v>1222601.6107899807</v>
      </c>
      <c r="U54" s="412"/>
      <c r="V54" s="440">
        <v>0</v>
      </c>
      <c r="W54" s="412"/>
      <c r="X54" s="440">
        <f t="shared" si="10"/>
        <v>5114905.229598376</v>
      </c>
      <c r="Y54" s="420"/>
      <c r="Z54" s="412"/>
      <c r="AA54" s="412"/>
      <c r="AB54" s="41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s="77" customFormat="1" ht="15" customHeight="1">
      <c r="A55" s="34" t="s">
        <v>211</v>
      </c>
      <c r="B55" s="7"/>
      <c r="C55" s="7"/>
      <c r="D55" s="424">
        <v>0</v>
      </c>
      <c r="E55" s="412">
        <v>0</v>
      </c>
      <c r="F55" s="412">
        <v>0</v>
      </c>
      <c r="G55" s="412">
        <v>0</v>
      </c>
      <c r="H55" s="412">
        <v>0</v>
      </c>
      <c r="I55" s="347">
        <v>0</v>
      </c>
      <c r="J55" s="425">
        <f t="shared" si="7"/>
        <v>0</v>
      </c>
      <c r="K55" s="412"/>
      <c r="L55" s="424">
        <v>0</v>
      </c>
      <c r="M55" s="347">
        <v>0</v>
      </c>
      <c r="N55" s="440">
        <f t="shared" si="8"/>
        <v>0</v>
      </c>
      <c r="O55" s="412"/>
      <c r="P55" s="439">
        <v>0</v>
      </c>
      <c r="Q55" s="412">
        <v>0</v>
      </c>
      <c r="R55" s="412"/>
      <c r="S55" s="412">
        <f>1179050+'[2]Summary by Category'!$E$77</f>
        <v>1339088.3399999999</v>
      </c>
      <c r="T55" s="425">
        <f t="shared" si="9"/>
        <v>1339088.3399999999</v>
      </c>
      <c r="U55" s="412"/>
      <c r="V55" s="440">
        <v>0</v>
      </c>
      <c r="W55" s="412"/>
      <c r="X55" s="440">
        <f>+V55+T55+N55+J55</f>
        <v>1339088.3399999999</v>
      </c>
      <c r="Y55" s="420"/>
      <c r="Z55" s="412"/>
      <c r="AA55" s="412"/>
      <c r="AB55" s="41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s="77" customFormat="1" ht="15" customHeight="1">
      <c r="A56" s="34" t="s">
        <v>286</v>
      </c>
      <c r="B56" s="7"/>
      <c r="C56" s="7"/>
      <c r="D56" s="424">
        <v>0</v>
      </c>
      <c r="E56" s="412">
        <v>160332</v>
      </c>
      <c r="F56" s="412">
        <v>0</v>
      </c>
      <c r="G56" s="412">
        <v>0</v>
      </c>
      <c r="H56" s="412">
        <f>[1]Summary!$B$21</f>
        <v>7111</v>
      </c>
      <c r="I56" s="347">
        <v>0</v>
      </c>
      <c r="J56" s="425">
        <f>SUM(D56:I56)</f>
        <v>167443</v>
      </c>
      <c r="K56" s="412"/>
      <c r="L56" s="424">
        <f>5387784+'[2]Summary by Category'!$E$44</f>
        <v>5167338.2942201886</v>
      </c>
      <c r="M56" s="347">
        <f>180235+[1]Summary!$C$21</f>
        <v>190236.2</v>
      </c>
      <c r="N56" s="440">
        <f t="shared" si="8"/>
        <v>5357574.4942201888</v>
      </c>
      <c r="O56" s="412"/>
      <c r="P56" s="439">
        <v>0</v>
      </c>
      <c r="Q56" s="412">
        <v>0</v>
      </c>
      <c r="R56" s="412"/>
      <c r="S56" s="412">
        <f>3283769+'[2]Summary by Category'!$E$78+'[2]Summary by Category'!$E$98</f>
        <v>3347517.0791808874</v>
      </c>
      <c r="T56" s="425">
        <f t="shared" si="9"/>
        <v>3347517.0791808874</v>
      </c>
      <c r="U56" s="412"/>
      <c r="V56" s="440">
        <v>0</v>
      </c>
      <c r="W56" s="412"/>
      <c r="X56" s="440">
        <f t="shared" si="10"/>
        <v>8872534.5734010767</v>
      </c>
      <c r="Y56" s="420"/>
      <c r="Z56" s="412"/>
      <c r="AA56" s="412"/>
      <c r="AB56" s="41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pans="1:256" s="77" customFormat="1" ht="15" customHeight="1">
      <c r="A57" s="35" t="s">
        <v>355</v>
      </c>
      <c r="B57" s="8"/>
      <c r="C57" s="8"/>
      <c r="D57" s="442"/>
      <c r="E57" s="413"/>
      <c r="F57" s="413"/>
      <c r="G57" s="413"/>
      <c r="H57" s="413"/>
      <c r="I57" s="347"/>
      <c r="J57" s="445"/>
      <c r="K57" s="412"/>
      <c r="L57" s="424"/>
      <c r="M57" s="347"/>
      <c r="N57" s="446"/>
      <c r="O57" s="412"/>
      <c r="P57" s="444"/>
      <c r="Q57" s="413"/>
      <c r="R57" s="413"/>
      <c r="S57" s="413"/>
      <c r="T57" s="445"/>
      <c r="U57" s="412"/>
      <c r="V57" s="446"/>
      <c r="W57" s="412"/>
      <c r="X57" s="446"/>
      <c r="Y57" s="420"/>
      <c r="Z57" s="412"/>
      <c r="AA57" s="412"/>
      <c r="AB57" s="41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spans="1:256" ht="22.5" customHeight="1">
      <c r="A58" s="37"/>
      <c r="B58" s="38"/>
      <c r="C58" s="38" t="s">
        <v>2</v>
      </c>
      <c r="D58" s="451">
        <f t="shared" ref="D58:J58" si="11">+SUM(D39:D57)</f>
        <v>64242850</v>
      </c>
      <c r="E58" s="452">
        <f t="shared" si="11"/>
        <v>67815395</v>
      </c>
      <c r="F58" s="452">
        <f t="shared" si="11"/>
        <v>67343207.177049965</v>
      </c>
      <c r="G58" s="452">
        <f t="shared" si="11"/>
        <v>0</v>
      </c>
      <c r="H58" s="452">
        <f t="shared" si="11"/>
        <v>14932230.644286992</v>
      </c>
      <c r="I58" s="234">
        <f t="shared" si="11"/>
        <v>2434771.6250000005</v>
      </c>
      <c r="J58" s="453">
        <f t="shared" si="11"/>
        <v>216768454.44633695</v>
      </c>
      <c r="K58" s="454"/>
      <c r="L58" s="426">
        <f>+SUM(L39:L57)</f>
        <v>35779895.615910031</v>
      </c>
      <c r="M58" s="234">
        <f>+SUM(M39:M57)</f>
        <v>2116169.4405</v>
      </c>
      <c r="N58" s="453">
        <f>+SUM(N39:N57)</f>
        <v>37896065.05641003</v>
      </c>
      <c r="O58" s="454"/>
      <c r="P58" s="451">
        <f>+SUM(P39:P57)</f>
        <v>39272700.792435952</v>
      </c>
      <c r="Q58" s="452">
        <f>+SUM(Q39:Q57)</f>
        <v>50094695.63833937</v>
      </c>
      <c r="R58" s="452">
        <f>+SUM(R39:R57)</f>
        <v>6686803.8799999999</v>
      </c>
      <c r="S58" s="452">
        <f>+SUM(S39:S57)</f>
        <v>15296946.502384648</v>
      </c>
      <c r="T58" s="453">
        <f>+SUM(T39:T57)</f>
        <v>111351146.81315997</v>
      </c>
      <c r="U58" s="412"/>
      <c r="V58" s="453">
        <f>+SUM(V39:V57)</f>
        <v>-127971.78332484601</v>
      </c>
      <c r="W58" s="454"/>
      <c r="X58" s="453">
        <f>+SUM(X39:X57)</f>
        <v>365887694.5325821</v>
      </c>
      <c r="Y58" s="420"/>
      <c r="Z58" s="454"/>
      <c r="AA58" s="412"/>
      <c r="AB58" s="454"/>
    </row>
    <row r="59" spans="1:256" ht="14.25" customHeight="1">
      <c r="L59" s="455"/>
      <c r="M59" s="455"/>
      <c r="N59" s="420"/>
      <c r="O59" s="412"/>
      <c r="P59" s="455"/>
      <c r="Q59" s="455"/>
      <c r="R59" s="455"/>
      <c r="S59" s="455"/>
      <c r="T59" s="420"/>
      <c r="U59" s="412"/>
      <c r="V59" s="420"/>
      <c r="W59" s="412"/>
      <c r="X59" s="420">
        <f>+X58-'Tuition Increment'!G28</f>
        <v>0</v>
      </c>
      <c r="Y59" s="420"/>
      <c r="Z59" s="412"/>
      <c r="AA59" s="412"/>
      <c r="AB59" s="412"/>
    </row>
    <row r="60" spans="1:256" s="393" customFormat="1" ht="15" customHeight="1">
      <c r="D60" s="2"/>
      <c r="E60" s="2"/>
      <c r="F60" s="77"/>
      <c r="G60" s="460"/>
      <c r="H60" s="293"/>
      <c r="I60" s="293"/>
      <c r="J60" s="77"/>
      <c r="K60" s="395"/>
      <c r="L60" s="394"/>
      <c r="M60" s="394"/>
      <c r="O60" s="395"/>
      <c r="P60" s="396"/>
      <c r="Q60" s="469"/>
      <c r="R60" s="396"/>
      <c r="S60" s="469"/>
      <c r="U60" s="395"/>
      <c r="W60" s="395"/>
      <c r="X60" s="420"/>
      <c r="Z60" s="412"/>
      <c r="AA60" s="395"/>
      <c r="AB60" s="6"/>
    </row>
    <row r="61" spans="1:256" s="77" customFormat="1">
      <c r="H61" s="605"/>
      <c r="L61" s="293"/>
      <c r="AB61" s="417"/>
    </row>
    <row r="62" spans="1:256" ht="23.25">
      <c r="A62" s="305"/>
    </row>
    <row r="63" spans="1:256" ht="19.5" customHeight="1">
      <c r="A63" s="284"/>
      <c r="B63" s="285"/>
      <c r="C63" s="285"/>
      <c r="D63" s="629" t="s">
        <v>58</v>
      </c>
      <c r="E63" s="630"/>
      <c r="F63" s="630"/>
      <c r="G63" s="630"/>
      <c r="H63" s="630"/>
      <c r="I63" s="553"/>
      <c r="J63" s="554"/>
      <c r="L63" s="629" t="s">
        <v>60</v>
      </c>
      <c r="M63" s="630"/>
      <c r="N63" s="372"/>
      <c r="P63" s="629" t="s">
        <v>61</v>
      </c>
      <c r="Q63" s="630"/>
      <c r="R63" s="630"/>
      <c r="S63" s="630"/>
      <c r="T63" s="370"/>
      <c r="V63" s="101"/>
      <c r="X63" s="101"/>
      <c r="Z63" s="296"/>
      <c r="AA63" s="6"/>
      <c r="AB63" s="296"/>
    </row>
    <row r="64" spans="1:256" s="1" customFormat="1" ht="35.25" customHeight="1">
      <c r="A64" s="86" t="s">
        <v>29</v>
      </c>
      <c r="B64" s="87"/>
      <c r="C64" s="87"/>
      <c r="D64" s="367" t="s">
        <v>10</v>
      </c>
      <c r="E64" s="559" t="s">
        <v>52</v>
      </c>
      <c r="F64" s="559" t="s">
        <v>64</v>
      </c>
      <c r="G64" s="559" t="s">
        <v>59</v>
      </c>
      <c r="H64" s="559" t="s">
        <v>30</v>
      </c>
      <c r="I64" s="559" t="s">
        <v>250</v>
      </c>
      <c r="J64" s="560" t="s">
        <v>225</v>
      </c>
      <c r="K64" s="74"/>
      <c r="L64" s="367" t="s">
        <v>48</v>
      </c>
      <c r="M64" s="368" t="s">
        <v>30</v>
      </c>
      <c r="N64" s="371" t="s">
        <v>226</v>
      </c>
      <c r="O64" s="74"/>
      <c r="P64" s="369" t="s">
        <v>53</v>
      </c>
      <c r="Q64" s="368" t="s">
        <v>56</v>
      </c>
      <c r="R64" s="368" t="s">
        <v>165</v>
      </c>
      <c r="S64" s="368" t="s">
        <v>63</v>
      </c>
      <c r="T64" s="371" t="s">
        <v>227</v>
      </c>
      <c r="U64" s="74"/>
      <c r="V64" s="319" t="s">
        <v>166</v>
      </c>
      <c r="W64" s="74"/>
      <c r="X64" s="352" t="s">
        <v>328</v>
      </c>
      <c r="Z64" s="74"/>
      <c r="AA64" s="297"/>
      <c r="AB64" s="74"/>
    </row>
    <row r="65" spans="1:28" ht="15" customHeight="1">
      <c r="A65" s="34" t="s">
        <v>11</v>
      </c>
      <c r="B65" s="7"/>
      <c r="C65" s="7"/>
      <c r="D65" s="434">
        <f t="shared" ref="D65:I74" si="12">D9-D39</f>
        <v>-38750</v>
      </c>
      <c r="E65" s="456">
        <f t="shared" si="12"/>
        <v>124399</v>
      </c>
      <c r="F65" s="456">
        <f t="shared" si="12"/>
        <v>-173733.91566401441</v>
      </c>
      <c r="G65" s="456">
        <f t="shared" si="12"/>
        <v>0</v>
      </c>
      <c r="H65" s="456">
        <f t="shared" si="12"/>
        <v>5911.2982077233028</v>
      </c>
      <c r="I65" s="456">
        <f t="shared" si="12"/>
        <v>1.8577855196781456E-2</v>
      </c>
      <c r="J65" s="441">
        <f t="shared" ref="J65:J82" si="13">SUM(D65:I65)</f>
        <v>-82173.598878435907</v>
      </c>
      <c r="K65" s="412"/>
      <c r="L65" s="434">
        <f t="shared" ref="L65:M83" si="14">L9-L39</f>
        <v>7976.5999999999767</v>
      </c>
      <c r="M65" s="438">
        <f t="shared" si="14"/>
        <v>1183.25</v>
      </c>
      <c r="N65" s="421">
        <f>M65+L65</f>
        <v>9159.8499999999767</v>
      </c>
      <c r="O65" s="412"/>
      <c r="P65" s="434">
        <f t="shared" ref="P65:S83" si="15">P9-P39</f>
        <v>0</v>
      </c>
      <c r="Q65" s="456">
        <f t="shared" si="15"/>
        <v>0</v>
      </c>
      <c r="R65" s="456">
        <f t="shared" si="15"/>
        <v>-4435.0725907276574</v>
      </c>
      <c r="S65" s="438">
        <f t="shared" si="15"/>
        <v>-6320.0210513616912</v>
      </c>
      <c r="T65" s="438">
        <f>SUBTOTAL(9,P65:S65)</f>
        <v>-10755.093642089349</v>
      </c>
      <c r="U65" s="412"/>
      <c r="V65" s="434">
        <f t="shared" ref="V65:V83" si="16">V9-V39</f>
        <v>0</v>
      </c>
      <c r="W65" s="412"/>
      <c r="X65" s="437">
        <f>J65+N65+T65+V65</f>
        <v>-83768.842520525272</v>
      </c>
      <c r="Z65" s="97"/>
      <c r="AA65" s="6"/>
      <c r="AB65" s="97"/>
    </row>
    <row r="66" spans="1:28" ht="15" customHeight="1">
      <c r="A66" s="34" t="s">
        <v>12</v>
      </c>
      <c r="B66" s="7"/>
      <c r="C66" s="7"/>
      <c r="D66" s="424">
        <f t="shared" si="12"/>
        <v>-56250</v>
      </c>
      <c r="E66" s="457">
        <f t="shared" si="12"/>
        <v>148962</v>
      </c>
      <c r="F66" s="457">
        <f t="shared" si="12"/>
        <v>78620.49021021463</v>
      </c>
      <c r="G66" s="457">
        <f t="shared" si="12"/>
        <v>0</v>
      </c>
      <c r="H66" s="457">
        <f t="shared" si="12"/>
        <v>18318.177301208954</v>
      </c>
      <c r="I66" s="457">
        <f t="shared" si="12"/>
        <v>8.7132757762447E-2</v>
      </c>
      <c r="J66" s="441">
        <f t="shared" si="13"/>
        <v>189650.75464418135</v>
      </c>
      <c r="K66" s="412"/>
      <c r="L66" s="424">
        <f t="shared" si="14"/>
        <v>4916.9337625838234</v>
      </c>
      <c r="M66" s="441">
        <f t="shared" si="14"/>
        <v>499.10249999999724</v>
      </c>
      <c r="N66" s="347">
        <f t="shared" ref="N66:N82" si="17">M66+L66</f>
        <v>5416.0362625838206</v>
      </c>
      <c r="O66" s="412"/>
      <c r="P66" s="424">
        <f t="shared" si="15"/>
        <v>0</v>
      </c>
      <c r="Q66" s="457">
        <f t="shared" si="15"/>
        <v>5768342.5868046209</v>
      </c>
      <c r="R66" s="457">
        <f t="shared" si="15"/>
        <v>-29890.340604541299</v>
      </c>
      <c r="S66" s="441">
        <f t="shared" si="15"/>
        <v>0</v>
      </c>
      <c r="T66" s="441">
        <f t="shared" ref="T66:T82" si="18">SUBTOTAL(9,P66:S66)</f>
        <v>5738452.24620008</v>
      </c>
      <c r="U66" s="412"/>
      <c r="V66" s="424">
        <f t="shared" si="16"/>
        <v>0</v>
      </c>
      <c r="W66" s="412"/>
      <c r="X66" s="440">
        <f t="shared" ref="X66:X82" si="19">J66+N66+T66+V66</f>
        <v>5933519.0371068455</v>
      </c>
      <c r="Z66" s="97"/>
      <c r="AA66" s="6"/>
      <c r="AB66" s="97"/>
    </row>
    <row r="67" spans="1:28" ht="15" customHeight="1">
      <c r="A67" s="34" t="s">
        <v>13</v>
      </c>
      <c r="B67" s="7"/>
      <c r="C67" s="7"/>
      <c r="D67" s="424">
        <f t="shared" si="12"/>
        <v>30000</v>
      </c>
      <c r="E67" s="457">
        <f t="shared" si="12"/>
        <v>223861</v>
      </c>
      <c r="F67" s="457">
        <f t="shared" si="12"/>
        <v>0</v>
      </c>
      <c r="G67" s="457">
        <f t="shared" si="12"/>
        <v>0</v>
      </c>
      <c r="H67" s="457">
        <f t="shared" si="12"/>
        <v>1408.1780882640596</v>
      </c>
      <c r="I67" s="457">
        <f t="shared" si="12"/>
        <v>0</v>
      </c>
      <c r="J67" s="441">
        <f t="shared" si="13"/>
        <v>255269.17808826407</v>
      </c>
      <c r="K67" s="412"/>
      <c r="L67" s="424">
        <f t="shared" si="14"/>
        <v>21258.239999999991</v>
      </c>
      <c r="M67" s="441">
        <f t="shared" si="14"/>
        <v>3104.702500000014</v>
      </c>
      <c r="N67" s="347">
        <f t="shared" si="17"/>
        <v>24362.942500000005</v>
      </c>
      <c r="O67" s="412"/>
      <c r="P67" s="424">
        <f t="shared" si="15"/>
        <v>0</v>
      </c>
      <c r="Q67" s="457">
        <f t="shared" si="15"/>
        <v>106875</v>
      </c>
      <c r="R67" s="457">
        <f t="shared" si="15"/>
        <v>0</v>
      </c>
      <c r="S67" s="441">
        <f t="shared" si="15"/>
        <v>-44240.030473574996</v>
      </c>
      <c r="T67" s="441">
        <f t="shared" si="18"/>
        <v>62634.969526425004</v>
      </c>
      <c r="U67" s="412"/>
      <c r="V67" s="424">
        <f t="shared" si="16"/>
        <v>0</v>
      </c>
      <c r="W67" s="412"/>
      <c r="X67" s="440">
        <f t="shared" si="19"/>
        <v>342267.09011468908</v>
      </c>
      <c r="Z67" s="97"/>
      <c r="AA67" s="6"/>
      <c r="AB67" s="97"/>
    </row>
    <row r="68" spans="1:28" ht="15" customHeight="1">
      <c r="A68" s="34" t="s">
        <v>14</v>
      </c>
      <c r="B68" s="7"/>
      <c r="C68" s="7"/>
      <c r="D68" s="424">
        <f t="shared" si="12"/>
        <v>750</v>
      </c>
      <c r="E68" s="457">
        <f t="shared" si="12"/>
        <v>-199892</v>
      </c>
      <c r="F68" s="457">
        <f t="shared" si="12"/>
        <v>281375.8501612097</v>
      </c>
      <c r="G68" s="457">
        <f t="shared" si="12"/>
        <v>0</v>
      </c>
      <c r="H68" s="457">
        <f t="shared" si="12"/>
        <v>26978.199999999721</v>
      </c>
      <c r="I68" s="457">
        <f t="shared" si="12"/>
        <v>6.45427835843293E-3</v>
      </c>
      <c r="J68" s="441">
        <f t="shared" si="13"/>
        <v>109212.05661548779</v>
      </c>
      <c r="K68" s="412"/>
      <c r="L68" s="424">
        <f t="shared" si="14"/>
        <v>176736.05918083899</v>
      </c>
      <c r="M68" s="441">
        <f t="shared" si="14"/>
        <v>6997.0999999999767</v>
      </c>
      <c r="N68" s="347">
        <f t="shared" si="17"/>
        <v>183733.15918083896</v>
      </c>
      <c r="O68" s="412"/>
      <c r="P68" s="424">
        <f t="shared" si="15"/>
        <v>0</v>
      </c>
      <c r="Q68" s="457">
        <f t="shared" si="15"/>
        <v>4072171.9449821543</v>
      </c>
      <c r="R68" s="457">
        <f t="shared" si="15"/>
        <v>771618.30084369238</v>
      </c>
      <c r="S68" s="441">
        <f t="shared" si="15"/>
        <v>-53134.389999999665</v>
      </c>
      <c r="T68" s="441">
        <f t="shared" si="18"/>
        <v>4790655.855825847</v>
      </c>
      <c r="U68" s="412"/>
      <c r="V68" s="424">
        <f t="shared" si="16"/>
        <v>0</v>
      </c>
      <c r="W68" s="412"/>
      <c r="X68" s="440">
        <f t="shared" si="19"/>
        <v>5083601.0716221742</v>
      </c>
      <c r="Z68" s="97"/>
      <c r="AA68" s="6"/>
      <c r="AB68" s="97"/>
    </row>
    <row r="69" spans="1:28" s="77" customFormat="1" ht="15" customHeight="1">
      <c r="A69" s="294" t="s">
        <v>15</v>
      </c>
      <c r="B69" s="6"/>
      <c r="C69" s="6"/>
      <c r="D69" s="439">
        <f t="shared" si="12"/>
        <v>153750</v>
      </c>
      <c r="E69" s="412">
        <f t="shared" si="12"/>
        <v>-26873</v>
      </c>
      <c r="F69" s="412">
        <f t="shared" si="12"/>
        <v>-54077.430861706147</v>
      </c>
      <c r="G69" s="412">
        <f t="shared" si="12"/>
        <v>0</v>
      </c>
      <c r="H69" s="412">
        <f t="shared" si="12"/>
        <v>9920.2647182763321</v>
      </c>
      <c r="I69" s="412">
        <f t="shared" si="12"/>
        <v>5.0238707102835178E-2</v>
      </c>
      <c r="J69" s="347">
        <f t="shared" si="13"/>
        <v>82719.884095277288</v>
      </c>
      <c r="K69" s="412"/>
      <c r="L69" s="439">
        <f t="shared" si="14"/>
        <v>313409.29100343212</v>
      </c>
      <c r="M69" s="347">
        <f t="shared" si="14"/>
        <v>3495.9895000000251</v>
      </c>
      <c r="N69" s="347">
        <f t="shared" si="17"/>
        <v>316905.28050343215</v>
      </c>
      <c r="O69" s="412"/>
      <c r="P69" s="439">
        <f t="shared" si="15"/>
        <v>0</v>
      </c>
      <c r="Q69" s="412">
        <f t="shared" si="15"/>
        <v>0</v>
      </c>
      <c r="R69" s="412">
        <f t="shared" si="15"/>
        <v>0</v>
      </c>
      <c r="S69" s="347">
        <f t="shared" si="15"/>
        <v>3950</v>
      </c>
      <c r="T69" s="347">
        <f t="shared" si="18"/>
        <v>3950</v>
      </c>
      <c r="U69" s="412"/>
      <c r="V69" s="439">
        <f t="shared" si="16"/>
        <v>0</v>
      </c>
      <c r="W69" s="412"/>
      <c r="X69" s="440">
        <f t="shared" si="19"/>
        <v>403575.16459870944</v>
      </c>
      <c r="Z69" s="97"/>
      <c r="AA69" s="6"/>
      <c r="AB69" s="97"/>
    </row>
    <row r="70" spans="1:28" ht="15" customHeight="1">
      <c r="A70" s="34" t="s">
        <v>143</v>
      </c>
      <c r="B70" s="7"/>
      <c r="C70" s="7"/>
      <c r="D70" s="424">
        <f t="shared" si="12"/>
        <v>0</v>
      </c>
      <c r="E70" s="457">
        <f t="shared" si="12"/>
        <v>0</v>
      </c>
      <c r="F70" s="457">
        <f t="shared" si="12"/>
        <v>0</v>
      </c>
      <c r="G70" s="457">
        <f t="shared" si="12"/>
        <v>0</v>
      </c>
      <c r="H70" s="457">
        <f t="shared" si="12"/>
        <v>0</v>
      </c>
      <c r="I70" s="457">
        <f t="shared" si="12"/>
        <v>0</v>
      </c>
      <c r="J70" s="441">
        <f t="shared" si="13"/>
        <v>0</v>
      </c>
      <c r="K70" s="412"/>
      <c r="L70" s="424">
        <f t="shared" si="14"/>
        <v>0</v>
      </c>
      <c r="M70" s="441">
        <f t="shared" si="14"/>
        <v>0</v>
      </c>
      <c r="N70" s="347">
        <f t="shared" si="17"/>
        <v>0</v>
      </c>
      <c r="O70" s="412"/>
      <c r="P70" s="424">
        <f t="shared" si="15"/>
        <v>0</v>
      </c>
      <c r="Q70" s="457">
        <f t="shared" si="15"/>
        <v>-107898.49512614985</v>
      </c>
      <c r="R70" s="457">
        <f t="shared" si="15"/>
        <v>0</v>
      </c>
      <c r="S70" s="441">
        <f t="shared" si="15"/>
        <v>0</v>
      </c>
      <c r="T70" s="441">
        <f t="shared" si="18"/>
        <v>-107898.49512614985</v>
      </c>
      <c r="U70" s="412"/>
      <c r="V70" s="424">
        <f t="shared" si="16"/>
        <v>0</v>
      </c>
      <c r="W70" s="412"/>
      <c r="X70" s="440">
        <f t="shared" si="19"/>
        <v>-107898.49512614985</v>
      </c>
      <c r="Z70" s="97"/>
      <c r="AA70" s="6"/>
      <c r="AB70" s="97"/>
    </row>
    <row r="71" spans="1:28" ht="15" customHeight="1">
      <c r="A71" s="34" t="s">
        <v>16</v>
      </c>
      <c r="B71" s="7"/>
      <c r="C71" s="7"/>
      <c r="D71" s="424">
        <f t="shared" si="12"/>
        <v>-83750</v>
      </c>
      <c r="E71" s="457">
        <f t="shared" si="12"/>
        <v>98142</v>
      </c>
      <c r="F71" s="457">
        <f t="shared" si="12"/>
        <v>21909.616733258474</v>
      </c>
      <c r="G71" s="457">
        <f t="shared" si="12"/>
        <v>0</v>
      </c>
      <c r="H71" s="457">
        <f t="shared" si="12"/>
        <v>2917.5999999999767</v>
      </c>
      <c r="I71" s="457">
        <f t="shared" si="12"/>
        <v>1.1251377189182676E-2</v>
      </c>
      <c r="J71" s="441">
        <f t="shared" si="13"/>
        <v>39219.22798463564</v>
      </c>
      <c r="K71" s="412"/>
      <c r="L71" s="424">
        <f t="shared" si="14"/>
        <v>3996.9157657505421</v>
      </c>
      <c r="M71" s="441">
        <f t="shared" si="14"/>
        <v>259.49999999999818</v>
      </c>
      <c r="N71" s="347">
        <f t="shared" si="17"/>
        <v>4256.4157657505402</v>
      </c>
      <c r="O71" s="412"/>
      <c r="P71" s="424">
        <f t="shared" si="15"/>
        <v>0</v>
      </c>
      <c r="Q71" s="457">
        <f t="shared" si="15"/>
        <v>0</v>
      </c>
      <c r="R71" s="457">
        <f t="shared" si="15"/>
        <v>0</v>
      </c>
      <c r="S71" s="441">
        <f t="shared" si="15"/>
        <v>0</v>
      </c>
      <c r="T71" s="441">
        <f t="shared" si="18"/>
        <v>0</v>
      </c>
      <c r="U71" s="412"/>
      <c r="V71" s="424">
        <f t="shared" si="16"/>
        <v>0</v>
      </c>
      <c r="W71" s="412"/>
      <c r="X71" s="440">
        <f t="shared" si="19"/>
        <v>43475.643750386182</v>
      </c>
      <c r="Z71" s="97"/>
      <c r="AA71" s="6"/>
      <c r="AB71" s="97"/>
    </row>
    <row r="72" spans="1:28" ht="15" customHeight="1">
      <c r="A72" s="34" t="s">
        <v>17</v>
      </c>
      <c r="B72" s="7"/>
      <c r="C72" s="7"/>
      <c r="D72" s="424">
        <f t="shared" si="12"/>
        <v>0</v>
      </c>
      <c r="E72" s="457">
        <f t="shared" si="12"/>
        <v>-38027</v>
      </c>
      <c r="F72" s="457">
        <f t="shared" si="12"/>
        <v>0</v>
      </c>
      <c r="G72" s="457">
        <f t="shared" si="12"/>
        <v>0</v>
      </c>
      <c r="H72" s="457">
        <f t="shared" si="12"/>
        <v>50.805364618825934</v>
      </c>
      <c r="I72" s="457">
        <f t="shared" si="12"/>
        <v>0</v>
      </c>
      <c r="J72" s="441">
        <f t="shared" si="13"/>
        <v>-37976.194635381173</v>
      </c>
      <c r="K72" s="412"/>
      <c r="L72" s="424">
        <f t="shared" si="14"/>
        <v>0</v>
      </c>
      <c r="M72" s="441">
        <f t="shared" si="14"/>
        <v>0</v>
      </c>
      <c r="N72" s="347">
        <f t="shared" si="17"/>
        <v>0</v>
      </c>
      <c r="O72" s="412"/>
      <c r="P72" s="424">
        <f t="shared" si="15"/>
        <v>-1753291.5924359523</v>
      </c>
      <c r="Q72" s="457">
        <f t="shared" si="15"/>
        <v>0</v>
      </c>
      <c r="R72" s="457">
        <f t="shared" si="15"/>
        <v>0</v>
      </c>
      <c r="S72" s="441">
        <f t="shared" si="15"/>
        <v>-16350.150000000023</v>
      </c>
      <c r="T72" s="441">
        <f t="shared" si="18"/>
        <v>-1769641.7424359522</v>
      </c>
      <c r="U72" s="412"/>
      <c r="V72" s="424">
        <f t="shared" si="16"/>
        <v>0</v>
      </c>
      <c r="W72" s="412"/>
      <c r="X72" s="440">
        <f t="shared" si="19"/>
        <v>-1807617.9370713334</v>
      </c>
      <c r="Z72" s="97"/>
      <c r="AA72" s="6"/>
      <c r="AB72" s="97"/>
    </row>
    <row r="73" spans="1:28" ht="15" customHeight="1">
      <c r="A73" s="34" t="s">
        <v>18</v>
      </c>
      <c r="B73" s="7"/>
      <c r="C73" s="7"/>
      <c r="D73" s="424">
        <f t="shared" si="12"/>
        <v>-139375</v>
      </c>
      <c r="E73" s="457">
        <f t="shared" si="12"/>
        <v>-690668</v>
      </c>
      <c r="F73" s="457">
        <f t="shared" si="12"/>
        <v>-648402.1876289323</v>
      </c>
      <c r="G73" s="457">
        <f t="shared" si="12"/>
        <v>0</v>
      </c>
      <c r="H73" s="457">
        <f t="shared" si="12"/>
        <v>97078.343870989978</v>
      </c>
      <c r="I73" s="457">
        <f t="shared" si="12"/>
        <v>0.28302882891148329</v>
      </c>
      <c r="J73" s="441">
        <f t="shared" si="13"/>
        <v>-1381366.5607291134</v>
      </c>
      <c r="K73" s="412"/>
      <c r="L73" s="424">
        <f t="shared" si="14"/>
        <v>32717.897959996713</v>
      </c>
      <c r="M73" s="441">
        <f t="shared" si="14"/>
        <v>1440.0999999999913</v>
      </c>
      <c r="N73" s="347">
        <f t="shared" si="17"/>
        <v>34157.997959996705</v>
      </c>
      <c r="O73" s="412"/>
      <c r="P73" s="424">
        <f t="shared" si="15"/>
        <v>0</v>
      </c>
      <c r="Q73" s="457">
        <f t="shared" si="15"/>
        <v>150149.32500000019</v>
      </c>
      <c r="R73" s="457">
        <f t="shared" si="15"/>
        <v>544639.6921533118</v>
      </c>
      <c r="S73" s="441">
        <f t="shared" si="15"/>
        <v>1580.0202774405479</v>
      </c>
      <c r="T73" s="441">
        <f t="shared" si="18"/>
        <v>696369.03743075253</v>
      </c>
      <c r="U73" s="412"/>
      <c r="V73" s="424">
        <f t="shared" si="16"/>
        <v>0</v>
      </c>
      <c r="W73" s="412"/>
      <c r="X73" s="440">
        <f t="shared" si="19"/>
        <v>-650839.52533836407</v>
      </c>
      <c r="Z73" s="97"/>
      <c r="AA73" s="6"/>
      <c r="AB73" s="97"/>
    </row>
    <row r="74" spans="1:28" ht="15" customHeight="1">
      <c r="A74" s="34" t="s">
        <v>19</v>
      </c>
      <c r="B74" s="7"/>
      <c r="C74" s="7"/>
      <c r="D74" s="424">
        <f t="shared" si="12"/>
        <v>0</v>
      </c>
      <c r="E74" s="457">
        <f t="shared" si="12"/>
        <v>-62414</v>
      </c>
      <c r="F74" s="457">
        <f t="shared" si="12"/>
        <v>0</v>
      </c>
      <c r="G74" s="457">
        <f t="shared" si="12"/>
        <v>0</v>
      </c>
      <c r="H74" s="457">
        <f t="shared" si="12"/>
        <v>102.82740439165809</v>
      </c>
      <c r="I74" s="457">
        <f t="shared" si="12"/>
        <v>0</v>
      </c>
      <c r="J74" s="441">
        <f t="shared" si="13"/>
        <v>-62311.172595608339</v>
      </c>
      <c r="K74" s="412"/>
      <c r="L74" s="424">
        <f t="shared" si="14"/>
        <v>0</v>
      </c>
      <c r="M74" s="441">
        <f t="shared" si="14"/>
        <v>0</v>
      </c>
      <c r="N74" s="347">
        <f t="shared" si="17"/>
        <v>0</v>
      </c>
      <c r="O74" s="412"/>
      <c r="P74" s="424">
        <f t="shared" si="15"/>
        <v>0</v>
      </c>
      <c r="Q74" s="457">
        <f t="shared" si="15"/>
        <v>0</v>
      </c>
      <c r="R74" s="457">
        <f t="shared" si="15"/>
        <v>0</v>
      </c>
      <c r="S74" s="441">
        <f t="shared" si="15"/>
        <v>0</v>
      </c>
      <c r="T74" s="441">
        <f t="shared" si="18"/>
        <v>0</v>
      </c>
      <c r="U74" s="412"/>
      <c r="V74" s="424">
        <f t="shared" si="16"/>
        <v>62311.172595608339</v>
      </c>
      <c r="W74" s="412"/>
      <c r="X74" s="440">
        <f t="shared" si="19"/>
        <v>0</v>
      </c>
      <c r="Z74" s="97"/>
      <c r="AA74" s="6"/>
      <c r="AB74" s="97"/>
    </row>
    <row r="75" spans="1:28" ht="15" customHeight="1">
      <c r="A75" s="34" t="s">
        <v>20</v>
      </c>
      <c r="B75" s="7"/>
      <c r="C75" s="7"/>
      <c r="D75" s="424">
        <f t="shared" ref="D75:I84" si="20">D19-D49</f>
        <v>118750</v>
      </c>
      <c r="E75" s="457">
        <f t="shared" si="20"/>
        <v>720995</v>
      </c>
      <c r="F75" s="457">
        <f t="shared" si="20"/>
        <v>0</v>
      </c>
      <c r="G75" s="457">
        <f t="shared" si="20"/>
        <v>0</v>
      </c>
      <c r="H75" s="457">
        <f t="shared" si="20"/>
        <v>11765.412832246395</v>
      </c>
      <c r="I75" s="457">
        <f t="shared" si="20"/>
        <v>1.8316195273655467E-2</v>
      </c>
      <c r="J75" s="441">
        <f t="shared" si="13"/>
        <v>851510.43114844162</v>
      </c>
      <c r="K75" s="412"/>
      <c r="L75" s="424">
        <f t="shared" si="14"/>
        <v>14417.501139713218</v>
      </c>
      <c r="M75" s="441">
        <f t="shared" si="14"/>
        <v>4165.2000000000116</v>
      </c>
      <c r="N75" s="347">
        <f t="shared" si="17"/>
        <v>18582.70113971323</v>
      </c>
      <c r="O75" s="412"/>
      <c r="P75" s="424">
        <f t="shared" si="15"/>
        <v>0</v>
      </c>
      <c r="Q75" s="457">
        <f t="shared" si="15"/>
        <v>7759</v>
      </c>
      <c r="R75" s="457">
        <f t="shared" si="15"/>
        <v>0</v>
      </c>
      <c r="S75" s="441">
        <f t="shared" si="15"/>
        <v>-29229.970730662055</v>
      </c>
      <c r="T75" s="441">
        <f t="shared" si="18"/>
        <v>-21470.970730662055</v>
      </c>
      <c r="U75" s="412"/>
      <c r="V75" s="424">
        <f t="shared" si="16"/>
        <v>0</v>
      </c>
      <c r="W75" s="412"/>
      <c r="X75" s="440">
        <f t="shared" si="19"/>
        <v>848622.1615574928</v>
      </c>
      <c r="Z75" s="97"/>
      <c r="AA75" s="6"/>
      <c r="AB75" s="97"/>
    </row>
    <row r="76" spans="1:28" ht="15" customHeight="1">
      <c r="A76" s="34" t="s">
        <v>21</v>
      </c>
      <c r="B76" s="7"/>
      <c r="C76" s="7"/>
      <c r="D76" s="424">
        <f t="shared" si="20"/>
        <v>0</v>
      </c>
      <c r="E76" s="457">
        <f t="shared" si="20"/>
        <v>-5742</v>
      </c>
      <c r="F76" s="457">
        <f t="shared" si="20"/>
        <v>0</v>
      </c>
      <c r="G76" s="457">
        <f t="shared" si="20"/>
        <v>0</v>
      </c>
      <c r="H76" s="457">
        <f t="shared" si="20"/>
        <v>85.342274364714285</v>
      </c>
      <c r="I76" s="457">
        <f t="shared" si="20"/>
        <v>0</v>
      </c>
      <c r="J76" s="441">
        <f t="shared" si="13"/>
        <v>-5656.6577256352857</v>
      </c>
      <c r="K76" s="412"/>
      <c r="L76" s="424">
        <f t="shared" si="14"/>
        <v>45</v>
      </c>
      <c r="M76" s="441">
        <f t="shared" si="14"/>
        <v>67.199999999999818</v>
      </c>
      <c r="N76" s="347">
        <f t="shared" si="17"/>
        <v>112.19999999999982</v>
      </c>
      <c r="O76" s="412"/>
      <c r="P76" s="424">
        <f t="shared" si="15"/>
        <v>594919.80000000075</v>
      </c>
      <c r="Q76" s="457">
        <f t="shared" si="15"/>
        <v>0</v>
      </c>
      <c r="R76" s="457">
        <f t="shared" si="15"/>
        <v>0</v>
      </c>
      <c r="S76" s="441">
        <f t="shared" si="15"/>
        <v>0</v>
      </c>
      <c r="T76" s="441">
        <f t="shared" si="18"/>
        <v>594919.80000000075</v>
      </c>
      <c r="U76" s="412"/>
      <c r="V76" s="424">
        <f t="shared" si="16"/>
        <v>0</v>
      </c>
      <c r="W76" s="412"/>
      <c r="X76" s="440">
        <f t="shared" si="19"/>
        <v>589375.34227436548</v>
      </c>
      <c r="Z76" s="97"/>
      <c r="AA76" s="6"/>
      <c r="AB76" s="97"/>
    </row>
    <row r="77" spans="1:28" ht="15" customHeight="1">
      <c r="A77" s="34" t="s">
        <v>22</v>
      </c>
      <c r="B77" s="7"/>
      <c r="C77" s="7"/>
      <c r="D77" s="424">
        <f t="shared" si="20"/>
        <v>0</v>
      </c>
      <c r="E77" s="457">
        <f t="shared" si="20"/>
        <v>-2750</v>
      </c>
      <c r="F77" s="457">
        <f t="shared" si="20"/>
        <v>0</v>
      </c>
      <c r="G77" s="457">
        <f t="shared" si="20"/>
        <v>0</v>
      </c>
      <c r="H77" s="457">
        <f t="shared" si="20"/>
        <v>0</v>
      </c>
      <c r="I77" s="457">
        <f t="shared" si="20"/>
        <v>0</v>
      </c>
      <c r="J77" s="441">
        <f t="shared" si="13"/>
        <v>-2750</v>
      </c>
      <c r="K77" s="412"/>
      <c r="L77" s="424">
        <f t="shared" si="14"/>
        <v>0</v>
      </c>
      <c r="M77" s="441">
        <f t="shared" si="14"/>
        <v>0</v>
      </c>
      <c r="N77" s="347">
        <f t="shared" si="17"/>
        <v>0</v>
      </c>
      <c r="O77" s="412"/>
      <c r="P77" s="424">
        <f t="shared" si="15"/>
        <v>0</v>
      </c>
      <c r="Q77" s="457">
        <f t="shared" si="15"/>
        <v>0</v>
      </c>
      <c r="R77" s="457">
        <f t="shared" si="15"/>
        <v>0</v>
      </c>
      <c r="S77" s="441">
        <f t="shared" si="15"/>
        <v>0</v>
      </c>
      <c r="T77" s="441">
        <f t="shared" si="18"/>
        <v>0</v>
      </c>
      <c r="U77" s="412"/>
      <c r="V77" s="424">
        <f t="shared" si="16"/>
        <v>2750</v>
      </c>
      <c r="W77" s="412"/>
      <c r="X77" s="440">
        <f t="shared" si="19"/>
        <v>0</v>
      </c>
      <c r="Z77" s="97"/>
      <c r="AA77" s="6"/>
      <c r="AB77" s="97"/>
    </row>
    <row r="78" spans="1:28" ht="15" customHeight="1">
      <c r="A78" s="34" t="s">
        <v>23</v>
      </c>
      <c r="B78" s="7"/>
      <c r="C78" s="7"/>
      <c r="D78" s="424">
        <f t="shared" si="20"/>
        <v>0</v>
      </c>
      <c r="E78" s="457">
        <f t="shared" si="20"/>
        <v>0</v>
      </c>
      <c r="F78" s="457">
        <f t="shared" si="20"/>
        <v>0</v>
      </c>
      <c r="G78" s="457">
        <f t="shared" si="20"/>
        <v>0</v>
      </c>
      <c r="H78" s="457">
        <f t="shared" si="20"/>
        <v>0</v>
      </c>
      <c r="I78" s="457">
        <f t="shared" si="20"/>
        <v>0</v>
      </c>
      <c r="J78" s="441">
        <f t="shared" si="13"/>
        <v>0</v>
      </c>
      <c r="K78" s="412"/>
      <c r="L78" s="424">
        <f t="shared" si="14"/>
        <v>0</v>
      </c>
      <c r="M78" s="441">
        <f t="shared" si="14"/>
        <v>0</v>
      </c>
      <c r="N78" s="347">
        <f t="shared" si="17"/>
        <v>0</v>
      </c>
      <c r="O78" s="412"/>
      <c r="P78" s="424">
        <f t="shared" si="15"/>
        <v>0</v>
      </c>
      <c r="Q78" s="457">
        <f t="shared" si="15"/>
        <v>0</v>
      </c>
      <c r="R78" s="457">
        <f t="shared" si="15"/>
        <v>0</v>
      </c>
      <c r="S78" s="441">
        <f t="shared" si="15"/>
        <v>0</v>
      </c>
      <c r="T78" s="441">
        <f t="shared" si="18"/>
        <v>0</v>
      </c>
      <c r="U78" s="412"/>
      <c r="V78" s="424">
        <f t="shared" si="16"/>
        <v>0</v>
      </c>
      <c r="W78" s="412"/>
      <c r="X78" s="440">
        <f t="shared" si="19"/>
        <v>0</v>
      </c>
      <c r="Z78" s="97"/>
      <c r="AA78" s="6"/>
      <c r="AB78" s="97"/>
    </row>
    <row r="79" spans="1:28" ht="15" customHeight="1">
      <c r="A79" s="34" t="s">
        <v>24</v>
      </c>
      <c r="B79" s="7"/>
      <c r="C79" s="7"/>
      <c r="D79" s="424">
        <f t="shared" si="20"/>
        <v>0</v>
      </c>
      <c r="E79" s="457">
        <f t="shared" si="20"/>
        <v>-259325</v>
      </c>
      <c r="F79" s="457">
        <f t="shared" si="20"/>
        <v>0</v>
      </c>
      <c r="G79" s="457">
        <f t="shared" si="20"/>
        <v>0</v>
      </c>
      <c r="H79" s="457">
        <f t="shared" si="20"/>
        <v>158.50557881414898</v>
      </c>
      <c r="I79" s="457">
        <f t="shared" si="20"/>
        <v>0</v>
      </c>
      <c r="J79" s="441">
        <f t="shared" si="13"/>
        <v>-259166.49442118584</v>
      </c>
      <c r="K79" s="412"/>
      <c r="L79" s="424">
        <f t="shared" si="14"/>
        <v>-460556.32316044811</v>
      </c>
      <c r="M79" s="441">
        <f t="shared" si="14"/>
        <v>65.149999999999636</v>
      </c>
      <c r="N79" s="347">
        <f t="shared" si="17"/>
        <v>-460491.17316044809</v>
      </c>
      <c r="O79" s="412"/>
      <c r="P79" s="424">
        <f t="shared" si="15"/>
        <v>0</v>
      </c>
      <c r="Q79" s="457">
        <f t="shared" si="15"/>
        <v>0</v>
      </c>
      <c r="R79" s="457">
        <f t="shared" si="15"/>
        <v>0</v>
      </c>
      <c r="S79" s="441">
        <f t="shared" si="15"/>
        <v>-48589.230435623671</v>
      </c>
      <c r="T79" s="441">
        <f t="shared" si="18"/>
        <v>-48589.230435623671</v>
      </c>
      <c r="U79" s="412"/>
      <c r="V79" s="424">
        <f t="shared" si="16"/>
        <v>259325</v>
      </c>
      <c r="W79" s="412"/>
      <c r="X79" s="440">
        <f t="shared" si="19"/>
        <v>-508921.89801725757</v>
      </c>
      <c r="Z79" s="97"/>
      <c r="AA79" s="6"/>
      <c r="AB79" s="97"/>
    </row>
    <row r="80" spans="1:28" ht="15" customHeight="1">
      <c r="A80" s="34" t="s">
        <v>25</v>
      </c>
      <c r="B80" s="7"/>
      <c r="C80" s="7"/>
      <c r="D80" s="424">
        <f t="shared" si="20"/>
        <v>-7500</v>
      </c>
      <c r="E80" s="457">
        <f t="shared" si="20"/>
        <v>-21923</v>
      </c>
      <c r="F80" s="457">
        <f t="shared" si="20"/>
        <v>0</v>
      </c>
      <c r="G80" s="457">
        <f t="shared" si="20"/>
        <v>0</v>
      </c>
      <c r="H80" s="457">
        <f t="shared" si="20"/>
        <v>335.23314581351951</v>
      </c>
      <c r="I80" s="457">
        <f t="shared" si="20"/>
        <v>0</v>
      </c>
      <c r="J80" s="441">
        <f t="shared" si="13"/>
        <v>-29087.76685418648</v>
      </c>
      <c r="K80" s="412"/>
      <c r="L80" s="424">
        <f t="shared" si="14"/>
        <v>294707.96265829238</v>
      </c>
      <c r="M80" s="441">
        <f t="shared" si="14"/>
        <v>9537.5649999999441</v>
      </c>
      <c r="N80" s="347">
        <f t="shared" si="17"/>
        <v>304245.52765829233</v>
      </c>
      <c r="O80" s="412"/>
      <c r="P80" s="424">
        <f t="shared" si="15"/>
        <v>0</v>
      </c>
      <c r="Q80" s="457">
        <f t="shared" si="15"/>
        <v>0</v>
      </c>
      <c r="R80" s="457">
        <f t="shared" si="15"/>
        <v>0</v>
      </c>
      <c r="S80" s="441">
        <f t="shared" si="15"/>
        <v>-1.078998064622283E-2</v>
      </c>
      <c r="T80" s="441">
        <f t="shared" si="18"/>
        <v>-1.078998064622283E-2</v>
      </c>
      <c r="U80" s="412"/>
      <c r="V80" s="424">
        <f t="shared" si="16"/>
        <v>0</v>
      </c>
      <c r="W80" s="412"/>
      <c r="X80" s="440">
        <f t="shared" si="19"/>
        <v>275157.75001412519</v>
      </c>
      <c r="Z80" s="97"/>
      <c r="AA80" s="6"/>
      <c r="AB80" s="97"/>
    </row>
    <row r="81" spans="1:28" ht="15" customHeight="1">
      <c r="A81" s="34" t="s">
        <v>211</v>
      </c>
      <c r="B81" s="7"/>
      <c r="C81" s="7"/>
      <c r="D81" s="424">
        <f t="shared" si="20"/>
        <v>0</v>
      </c>
      <c r="E81" s="457">
        <f t="shared" si="20"/>
        <v>0</v>
      </c>
      <c r="F81" s="457">
        <f t="shared" si="20"/>
        <v>0</v>
      </c>
      <c r="G81" s="457">
        <f t="shared" si="20"/>
        <v>0</v>
      </c>
      <c r="H81" s="457">
        <f t="shared" si="20"/>
        <v>0</v>
      </c>
      <c r="I81" s="457">
        <f t="shared" si="20"/>
        <v>0</v>
      </c>
      <c r="J81" s="441">
        <f t="shared" si="13"/>
        <v>0</v>
      </c>
      <c r="K81" s="412"/>
      <c r="L81" s="424">
        <f t="shared" si="14"/>
        <v>0</v>
      </c>
      <c r="M81" s="441">
        <f t="shared" si="14"/>
        <v>0</v>
      </c>
      <c r="N81" s="347">
        <f t="shared" si="17"/>
        <v>0</v>
      </c>
      <c r="O81" s="412"/>
      <c r="P81" s="424">
        <f t="shared" si="15"/>
        <v>0</v>
      </c>
      <c r="Q81" s="457">
        <f t="shared" si="15"/>
        <v>0</v>
      </c>
      <c r="R81" s="457">
        <f t="shared" si="15"/>
        <v>0</v>
      </c>
      <c r="S81" s="441">
        <f t="shared" si="15"/>
        <v>-1339088.3399999999</v>
      </c>
      <c r="T81" s="441">
        <f t="shared" si="18"/>
        <v>-1339088.3399999999</v>
      </c>
      <c r="U81" s="412"/>
      <c r="V81" s="424">
        <f t="shared" si="16"/>
        <v>0</v>
      </c>
      <c r="W81" s="412"/>
      <c r="X81" s="440">
        <f t="shared" si="19"/>
        <v>-1339088.3399999999</v>
      </c>
      <c r="Z81" s="97"/>
      <c r="AA81" s="6"/>
      <c r="AB81" s="97"/>
    </row>
    <row r="82" spans="1:28" ht="15" customHeight="1">
      <c r="A82" s="34" t="str">
        <f>+A56</f>
        <v>LP - School of Information Sciences</v>
      </c>
      <c r="B82" s="7"/>
      <c r="C82" s="7"/>
      <c r="D82" s="424">
        <f t="shared" si="20"/>
        <v>0</v>
      </c>
      <c r="E82" s="457">
        <f t="shared" si="20"/>
        <v>32560</v>
      </c>
      <c r="F82" s="457">
        <f t="shared" si="20"/>
        <v>0</v>
      </c>
      <c r="G82" s="457">
        <f t="shared" si="20"/>
        <v>0</v>
      </c>
      <c r="H82" s="457">
        <f t="shared" si="20"/>
        <v>90.431759322364087</v>
      </c>
      <c r="I82" s="457">
        <f t="shared" si="20"/>
        <v>0</v>
      </c>
      <c r="J82" s="441">
        <f t="shared" si="13"/>
        <v>32650.431759322364</v>
      </c>
      <c r="K82" s="412"/>
      <c r="L82" s="424">
        <f t="shared" si="14"/>
        <v>1463189.7057798114</v>
      </c>
      <c r="M82" s="441">
        <f t="shared" si="14"/>
        <v>3043.6999999999825</v>
      </c>
      <c r="N82" s="347">
        <f t="shared" si="17"/>
        <v>1466233.4057798113</v>
      </c>
      <c r="O82" s="412"/>
      <c r="P82" s="424">
        <f t="shared" si="15"/>
        <v>0</v>
      </c>
      <c r="Q82" s="457">
        <f t="shared" si="15"/>
        <v>0</v>
      </c>
      <c r="R82" s="457">
        <f t="shared" si="15"/>
        <v>0</v>
      </c>
      <c r="S82" s="441">
        <f t="shared" si="15"/>
        <v>-2369.9791808873415</v>
      </c>
      <c r="T82" s="441">
        <f t="shared" si="18"/>
        <v>-2369.9791808873415</v>
      </c>
      <c r="U82" s="412"/>
      <c r="V82" s="424">
        <f t="shared" si="16"/>
        <v>0</v>
      </c>
      <c r="W82" s="412"/>
      <c r="X82" s="440">
        <f t="shared" si="19"/>
        <v>1496513.8583582463</v>
      </c>
      <c r="Z82" s="97"/>
      <c r="AA82" s="6"/>
      <c r="AB82" s="97"/>
    </row>
    <row r="83" spans="1:28" ht="15" customHeight="1">
      <c r="A83" s="35" t="s">
        <v>355</v>
      </c>
      <c r="B83" s="8"/>
      <c r="C83" s="8"/>
      <c r="D83" s="424">
        <f t="shared" si="20"/>
        <v>0</v>
      </c>
      <c r="E83" s="457">
        <f t="shared" si="20"/>
        <v>0</v>
      </c>
      <c r="F83" s="457">
        <f t="shared" si="20"/>
        <v>0</v>
      </c>
      <c r="G83" s="457">
        <f t="shared" si="20"/>
        <v>0</v>
      </c>
      <c r="H83" s="457">
        <f t="shared" si="20"/>
        <v>0</v>
      </c>
      <c r="I83" s="457">
        <f t="shared" si="20"/>
        <v>0</v>
      </c>
      <c r="J83" s="447">
        <f>SUM(D83:I83)</f>
        <v>0</v>
      </c>
      <c r="K83" s="412"/>
      <c r="L83" s="442">
        <f t="shared" si="14"/>
        <v>0</v>
      </c>
      <c r="M83" s="447">
        <f t="shared" si="14"/>
        <v>0</v>
      </c>
      <c r="N83" s="443">
        <f>M83+L83</f>
        <v>0</v>
      </c>
      <c r="O83" s="412"/>
      <c r="P83" s="442">
        <f t="shared" si="15"/>
        <v>1862192</v>
      </c>
      <c r="Q83" s="458">
        <f t="shared" si="15"/>
        <v>0</v>
      </c>
      <c r="R83" s="458">
        <f t="shared" si="15"/>
        <v>0</v>
      </c>
      <c r="S83" s="447">
        <f t="shared" si="15"/>
        <v>0</v>
      </c>
      <c r="T83" s="447">
        <f>SUBTOTAL(9,P83:S83)</f>
        <v>1862192</v>
      </c>
      <c r="U83" s="412"/>
      <c r="V83" s="442">
        <f t="shared" si="16"/>
        <v>0</v>
      </c>
      <c r="W83" s="412"/>
      <c r="X83" s="446">
        <f>J83+N83+T83+V83</f>
        <v>1862192</v>
      </c>
      <c r="Z83" s="97"/>
      <c r="AA83" s="6"/>
      <c r="AB83" s="97"/>
    </row>
    <row r="84" spans="1:28" ht="22.5" customHeight="1">
      <c r="A84" s="37"/>
      <c r="B84" s="38"/>
      <c r="C84" s="38" t="s">
        <v>2</v>
      </c>
      <c r="D84" s="426">
        <f>SUM(D65:D83)</f>
        <v>-22375</v>
      </c>
      <c r="E84" s="235">
        <f t="shared" ref="E84:J84" si="21">SUM(E65:E83)</f>
        <v>41305</v>
      </c>
      <c r="F84" s="235">
        <f t="shared" si="21"/>
        <v>-494307.57704997004</v>
      </c>
      <c r="G84" s="235">
        <f t="shared" si="21"/>
        <v>0</v>
      </c>
      <c r="H84" s="235">
        <f t="shared" si="21"/>
        <v>175120.62054603396</v>
      </c>
      <c r="I84" s="235">
        <f t="shared" si="21"/>
        <v>0.474999999794818</v>
      </c>
      <c r="J84" s="448">
        <f t="shared" si="21"/>
        <v>-300256.48150393646</v>
      </c>
      <c r="K84" s="454"/>
      <c r="L84" s="451">
        <f>SUM(L65:L83)</f>
        <v>1872815.7840899709</v>
      </c>
      <c r="M84" s="452">
        <f>SUM(M65:M83)</f>
        <v>33858.559499999938</v>
      </c>
      <c r="N84" s="453">
        <f>SUM(N65:N83)</f>
        <v>1906674.3435899708</v>
      </c>
      <c r="O84" s="454"/>
      <c r="P84" s="451">
        <f>SUM(P65:P83)</f>
        <v>703820.20756404847</v>
      </c>
      <c r="Q84" s="452">
        <f>SUBTOTAL(9,Q65:Q83)</f>
        <v>9997399.3616606258</v>
      </c>
      <c r="R84" s="452">
        <f>SUBTOTAL(9,R65:R83)</f>
        <v>1281932.5798017352</v>
      </c>
      <c r="S84" s="452">
        <f>SUBTOTAL(9,S65:S83)</f>
        <v>-1533792.1023846494</v>
      </c>
      <c r="T84" s="453">
        <f>SUBTOTAL(9,T65:T83)</f>
        <v>0</v>
      </c>
      <c r="U84" s="454"/>
      <c r="V84" s="453">
        <f>SUBTOTAL(9,V65:V83)</f>
        <v>324386.17259560834</v>
      </c>
      <c r="W84" s="454"/>
      <c r="X84" s="453">
        <f>SUBTOTAL(9,X65:X83)</f>
        <v>12380164.0813234</v>
      </c>
      <c r="Y84" s="261"/>
      <c r="Z84" s="298"/>
      <c r="AA84" s="6"/>
      <c r="AB84" s="298"/>
    </row>
    <row r="85" spans="1:28">
      <c r="Z85" s="6"/>
      <c r="AA85" s="6"/>
      <c r="AB85" s="6"/>
    </row>
    <row r="86" spans="1:28">
      <c r="E86" s="81"/>
      <c r="H86" s="81"/>
      <c r="I86" s="81"/>
      <c r="J86" s="361"/>
    </row>
    <row r="87" spans="1:28">
      <c r="A87" s="550" t="s">
        <v>228</v>
      </c>
    </row>
  </sheetData>
  <autoFilter ref="P7:T28">
    <filterColumn colId="0" showButton="0"/>
    <filterColumn colId="1" showButton="0">
      <colorFilter dxfId="0" cellColor="0"/>
    </filterColumn>
    <filterColumn colId="2" showButton="0"/>
    <filterColumn colId="3" showButton="0"/>
  </autoFilter>
  <mergeCells count="14">
    <mergeCell ref="D37:H37"/>
    <mergeCell ref="L37:M37"/>
    <mergeCell ref="P37:S37"/>
    <mergeCell ref="D63:H63"/>
    <mergeCell ref="L63:M63"/>
    <mergeCell ref="P63:S63"/>
    <mergeCell ref="L7:M7"/>
    <mergeCell ref="P7:S7"/>
    <mergeCell ref="A1:X1"/>
    <mergeCell ref="A2:X2"/>
    <mergeCell ref="A3:X3"/>
    <mergeCell ref="A4:X4"/>
    <mergeCell ref="A6:J6"/>
    <mergeCell ref="D7:H7"/>
  </mergeCells>
  <printOptions horizontalCentered="1"/>
  <pageMargins left="0.75" right="0.75" top="1" bottom="1" header="0.5" footer="0.5"/>
  <pageSetup scale="36" orientation="landscape" r:id="rId1"/>
  <headerFooter alignWithMargins="0">
    <oddFooter>&amp;L&amp;9&amp;D
&amp;F
&amp;A</oddFooter>
  </headerFooter>
  <rowBreaks count="1" manualBreakCount="1">
    <brk id="61" max="16383" man="1"/>
  </rowBreaks>
  <colBreaks count="2" manualBreakCount="2">
    <brk id="11" max="1048575" man="1"/>
    <brk id="19" max="80"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K34"/>
  <sheetViews>
    <sheetView zoomScaleNormal="100" workbookViewId="0">
      <selection sqref="A1:I1"/>
    </sheetView>
  </sheetViews>
  <sheetFormatPr defaultRowHeight="12"/>
  <cols>
    <col min="1" max="1" width="4.85546875" style="2" customWidth="1"/>
    <col min="2" max="2" width="5.140625" style="2" customWidth="1"/>
    <col min="3" max="3" width="22.28515625" style="2" customWidth="1"/>
    <col min="4" max="4" width="15.7109375" style="2" customWidth="1"/>
    <col min="5" max="5" width="11.85546875" style="2" customWidth="1"/>
    <col min="6" max="6" width="13.85546875" style="2" customWidth="1"/>
    <col min="7" max="7" width="11.85546875" style="2" customWidth="1"/>
    <col min="8" max="8" width="12.42578125" style="291" customWidth="1"/>
    <col min="9" max="9" width="11" style="2" bestFit="1" customWidth="1"/>
    <col min="10" max="11" width="9.140625" style="2"/>
    <col min="12" max="13" width="12" style="2" bestFit="1" customWidth="1"/>
    <col min="14" max="16384" width="9.140625" style="2"/>
  </cols>
  <sheetData>
    <row r="1" spans="1:11" s="13" customFormat="1" ht="15.75">
      <c r="A1" s="610" t="s">
        <v>383</v>
      </c>
      <c r="B1" s="610"/>
      <c r="C1" s="610"/>
      <c r="D1" s="610"/>
      <c r="E1" s="610"/>
      <c r="F1" s="610"/>
      <c r="G1" s="610"/>
      <c r="H1" s="610"/>
      <c r="I1" s="610"/>
    </row>
    <row r="2" spans="1:11" s="13" customFormat="1" ht="15.75">
      <c r="A2" s="610" t="s">
        <v>35</v>
      </c>
      <c r="B2" s="610"/>
      <c r="C2" s="610"/>
      <c r="D2" s="610"/>
      <c r="E2" s="610"/>
      <c r="F2" s="610"/>
      <c r="G2" s="610"/>
      <c r="H2" s="610"/>
      <c r="I2" s="610"/>
    </row>
    <row r="3" spans="1:11" s="13" customFormat="1" ht="12.75">
      <c r="A3" s="631"/>
      <c r="B3" s="631"/>
      <c r="C3" s="631"/>
      <c r="D3" s="631"/>
      <c r="E3" s="631"/>
      <c r="F3" s="631"/>
      <c r="G3" s="631"/>
      <c r="H3" s="631"/>
      <c r="I3" s="631"/>
    </row>
    <row r="5" spans="1:11">
      <c r="A5" s="90"/>
      <c r="B5" s="89"/>
      <c r="C5" s="89"/>
      <c r="D5" s="89"/>
      <c r="E5" s="89"/>
      <c r="F5" s="89"/>
      <c r="G5" s="89"/>
      <c r="H5" s="289"/>
      <c r="I5" s="89"/>
    </row>
    <row r="6" spans="1:11">
      <c r="A6" s="636"/>
      <c r="B6" s="636"/>
      <c r="C6" s="636"/>
      <c r="D6" s="636"/>
      <c r="E6" s="636"/>
      <c r="F6" s="636"/>
      <c r="G6" s="636"/>
      <c r="H6" s="634"/>
    </row>
    <row r="7" spans="1:11" ht="19.5" customHeight="1">
      <c r="A7" s="83"/>
      <c r="B7" s="84"/>
      <c r="C7" s="84"/>
      <c r="D7" s="95"/>
      <c r="E7" s="96"/>
      <c r="F7" s="225"/>
      <c r="G7" s="96"/>
      <c r="H7" s="99"/>
      <c r="I7" s="290"/>
      <c r="J7" s="101"/>
    </row>
    <row r="8" spans="1:11" s="1" customFormat="1" ht="35.25" customHeight="1">
      <c r="A8" s="86" t="s">
        <v>29</v>
      </c>
      <c r="B8" s="87"/>
      <c r="C8" s="87"/>
      <c r="D8" s="369" t="s">
        <v>237</v>
      </c>
      <c r="E8" s="368" t="s">
        <v>365</v>
      </c>
      <c r="F8" s="368" t="s">
        <v>364</v>
      </c>
      <c r="G8" s="353" t="s">
        <v>366</v>
      </c>
      <c r="H8" s="318" t="s">
        <v>340</v>
      </c>
      <c r="I8" s="354" t="s">
        <v>328</v>
      </c>
      <c r="J8" s="94" t="s">
        <v>7</v>
      </c>
      <c r="K8" s="89"/>
    </row>
    <row r="9" spans="1:11" ht="15" customHeight="1">
      <c r="A9" s="34" t="s">
        <v>11</v>
      </c>
      <c r="B9" s="7"/>
      <c r="C9" s="7"/>
      <c r="D9" s="435">
        <v>15265840.261233596</v>
      </c>
      <c r="E9" s="411">
        <v>-301.14820772337407</v>
      </c>
      <c r="F9" s="411">
        <v>4454.1964375285606</v>
      </c>
      <c r="G9" s="411">
        <f>F9+D9+E9</f>
        <v>15269993.3094634</v>
      </c>
      <c r="H9" s="421">
        <f>'Total Tuition '!X9</f>
        <v>15186224.466942875</v>
      </c>
      <c r="I9" s="437">
        <f>H9-G9</f>
        <v>-83768.842520525679</v>
      </c>
      <c r="J9" s="107">
        <f>I9/G9</f>
        <v>-5.4858467075169521E-3</v>
      </c>
    </row>
    <row r="10" spans="1:11" ht="15" customHeight="1">
      <c r="A10" s="34" t="s">
        <v>379</v>
      </c>
      <c r="B10" s="7"/>
      <c r="C10" s="7"/>
      <c r="D10" s="439">
        <v>57578273.364655212</v>
      </c>
      <c r="E10" s="412">
        <v>15156.020198791142</v>
      </c>
      <c r="F10" s="412">
        <v>1915813.0551062995</v>
      </c>
      <c r="G10" s="412">
        <f>F10+D10+E10</f>
        <v>59509242.439960301</v>
      </c>
      <c r="H10" s="347">
        <f>'Total Tuition '!X10</f>
        <v>65442761.477067143</v>
      </c>
      <c r="I10" s="440">
        <f t="shared" ref="I10:I27" si="0">H10-G10</f>
        <v>5933519.0371068418</v>
      </c>
      <c r="J10" s="108">
        <f t="shared" ref="J10:J28" si="1">I10/G10</f>
        <v>9.9707520946737835E-2</v>
      </c>
    </row>
    <row r="11" spans="1:11" ht="15" customHeight="1">
      <c r="A11" s="34" t="s">
        <v>13</v>
      </c>
      <c r="B11" s="7"/>
      <c r="C11" s="7"/>
      <c r="D11" s="439">
        <v>6069349.0999999996</v>
      </c>
      <c r="E11" s="412">
        <v>-164292.08058826407</v>
      </c>
      <c r="F11" s="412">
        <v>336682.99047357496</v>
      </c>
      <c r="G11" s="412">
        <f>F11+D11+E11</f>
        <v>6241740.0098853102</v>
      </c>
      <c r="H11" s="347">
        <f>'Total Tuition '!X11</f>
        <v>6584007.0999999996</v>
      </c>
      <c r="I11" s="440">
        <f t="shared" si="0"/>
        <v>342267.09011468943</v>
      </c>
      <c r="J11" s="108">
        <f t="shared" si="1"/>
        <v>5.4835204537937568E-2</v>
      </c>
    </row>
    <row r="12" spans="1:11" ht="15" customHeight="1">
      <c r="A12" s="34" t="s">
        <v>14</v>
      </c>
      <c r="B12" s="7"/>
      <c r="C12" s="7"/>
      <c r="D12" s="439">
        <v>92217598.417874813</v>
      </c>
      <c r="E12" s="412">
        <v>-157870.9</v>
      </c>
      <c r="F12" s="412">
        <v>2262003.6037668306</v>
      </c>
      <c r="G12" s="412">
        <f>F12+D12+E12</f>
        <v>94321731.121641636</v>
      </c>
      <c r="H12" s="347">
        <f>'Total Tuition '!X12</f>
        <v>99405332.193263814</v>
      </c>
      <c r="I12" s="440">
        <f t="shared" si="0"/>
        <v>5083601.071622178</v>
      </c>
      <c r="J12" s="108">
        <f t="shared" si="1"/>
        <v>5.3896392816053518E-2</v>
      </c>
    </row>
    <row r="13" spans="1:11" ht="15" customHeight="1">
      <c r="A13" s="34" t="s">
        <v>15</v>
      </c>
      <c r="B13" s="7"/>
      <c r="C13" s="7"/>
      <c r="D13" s="439">
        <v>16364867.12246719</v>
      </c>
      <c r="E13" s="412">
        <v>-78543.654218276322</v>
      </c>
      <c r="F13" s="412">
        <v>-191229.65833421861</v>
      </c>
      <c r="G13" s="412">
        <f>F13+D13+E13</f>
        <v>16095093.809914695</v>
      </c>
      <c r="H13" s="347">
        <f>'Total Tuition '!X13</f>
        <v>16498668.974513404</v>
      </c>
      <c r="I13" s="440">
        <f t="shared" si="0"/>
        <v>403575.16459870897</v>
      </c>
      <c r="J13" s="108">
        <f t="shared" si="1"/>
        <v>2.5074421396047021E-2</v>
      </c>
    </row>
    <row r="14" spans="1:11" ht="15" customHeight="1">
      <c r="A14" s="34" t="s">
        <v>143</v>
      </c>
      <c r="B14" s="7"/>
      <c r="C14" s="7"/>
      <c r="D14" s="439">
        <v>913187</v>
      </c>
      <c r="E14" s="412"/>
      <c r="F14" s="412">
        <f>+'[2]Summary by Category'!$E$51</f>
        <v>27715.49512614985</v>
      </c>
      <c r="G14" s="412">
        <f t="shared" ref="G14:G25" si="2">F14+D14+E14</f>
        <v>940902.49512614985</v>
      </c>
      <c r="H14" s="347">
        <f>'Total Tuition '!X14</f>
        <v>833004</v>
      </c>
      <c r="I14" s="440">
        <f t="shared" si="0"/>
        <v>-107898.49512614985</v>
      </c>
      <c r="J14" s="108">
        <f t="shared" si="1"/>
        <v>-0.11467553299631068</v>
      </c>
    </row>
    <row r="15" spans="1:11" ht="15" customHeight="1">
      <c r="A15" s="34" t="s">
        <v>16</v>
      </c>
      <c r="B15" s="7"/>
      <c r="C15" s="7"/>
      <c r="D15" s="439">
        <v>4698780.1909949873</v>
      </c>
      <c r="E15" s="412">
        <f>+[1]Summary!$J$9</f>
        <v>85071</v>
      </c>
      <c r="F15" s="412">
        <v>280178.37933835643</v>
      </c>
      <c r="G15" s="412">
        <f t="shared" si="2"/>
        <v>5064029.5703333439</v>
      </c>
      <c r="H15" s="347">
        <f>'Total Tuition '!X15</f>
        <v>5107505.2140837312</v>
      </c>
      <c r="I15" s="440">
        <f t="shared" si="0"/>
        <v>43475.643750387244</v>
      </c>
      <c r="J15" s="108">
        <f t="shared" si="1"/>
        <v>8.5851875757363364E-3</v>
      </c>
    </row>
    <row r="16" spans="1:11" ht="15" customHeight="1">
      <c r="A16" s="34" t="s">
        <v>17</v>
      </c>
      <c r="B16" s="7"/>
      <c r="C16" s="7"/>
      <c r="D16" s="439">
        <v>21259198.110574476</v>
      </c>
      <c r="E16" s="412">
        <v>-2723.1105744748065</v>
      </c>
      <c r="F16" s="412">
        <v>743.74243595229927</v>
      </c>
      <c r="G16" s="412">
        <f t="shared" si="2"/>
        <v>21257218.742435951</v>
      </c>
      <c r="H16" s="347">
        <f>'Total Tuition '!X16</f>
        <v>19449600.80536462</v>
      </c>
      <c r="I16" s="440">
        <f t="shared" si="0"/>
        <v>-1807617.9370713308</v>
      </c>
      <c r="J16" s="108">
        <f t="shared" si="1"/>
        <v>-8.5035486484540387E-2</v>
      </c>
    </row>
    <row r="17" spans="1:10" ht="15" customHeight="1">
      <c r="A17" s="34" t="s">
        <v>18</v>
      </c>
      <c r="B17" s="7"/>
      <c r="C17" s="7"/>
      <c r="D17" s="439">
        <v>96625702.293816105</v>
      </c>
      <c r="E17" s="412">
        <f>[1]Summary!$D$11</f>
        <v>-248727.54871457908</v>
      </c>
      <c r="F17" s="412">
        <v>95432.477224826114</v>
      </c>
      <c r="G17" s="412">
        <f t="shared" si="2"/>
        <v>96472407.222326353</v>
      </c>
      <c r="H17" s="347">
        <f>'Total Tuition '!X17</f>
        <v>95821567.696988001</v>
      </c>
      <c r="I17" s="440">
        <f t="shared" si="0"/>
        <v>-650839.52533835173</v>
      </c>
      <c r="J17" s="108">
        <f t="shared" si="1"/>
        <v>-6.7463800694685027E-3</v>
      </c>
    </row>
    <row r="18" spans="1:10" ht="15" customHeight="1">
      <c r="A18" s="532" t="s">
        <v>19</v>
      </c>
      <c r="B18" s="533"/>
      <c r="C18" s="533"/>
      <c r="D18" s="534">
        <v>0</v>
      </c>
      <c r="E18" s="535">
        <v>0</v>
      </c>
      <c r="F18" s="535">
        <v>0</v>
      </c>
      <c r="G18" s="535">
        <f>F18+D18+E18</f>
        <v>0</v>
      </c>
      <c r="H18" s="536">
        <f>+'Total Tuition '!X18</f>
        <v>0</v>
      </c>
      <c r="I18" s="537">
        <f t="shared" si="0"/>
        <v>0</v>
      </c>
      <c r="J18" s="607" t="s">
        <v>145</v>
      </c>
    </row>
    <row r="19" spans="1:10" ht="15" customHeight="1">
      <c r="A19" s="34" t="s">
        <v>20</v>
      </c>
      <c r="B19" s="7"/>
      <c r="C19" s="7"/>
      <c r="D19" s="439">
        <v>12922470.601294059</v>
      </c>
      <c r="E19" s="412">
        <f>[1]Summary!$D$13</f>
        <v>49573.759939535783</v>
      </c>
      <c r="F19" s="412">
        <v>-199464.89633416286</v>
      </c>
      <c r="G19" s="412">
        <f>F19+D19+E19</f>
        <v>12772579.464899434</v>
      </c>
      <c r="H19" s="347">
        <f>'Total Tuition '!X19</f>
        <v>13621201.626456924</v>
      </c>
      <c r="I19" s="440">
        <f t="shared" si="0"/>
        <v>848622.16155749001</v>
      </c>
      <c r="J19" s="108">
        <f t="shared" si="1"/>
        <v>6.6440938096302679E-2</v>
      </c>
    </row>
    <row r="20" spans="1:10" ht="15" customHeight="1">
      <c r="A20" s="34" t="s">
        <v>21</v>
      </c>
      <c r="B20" s="7"/>
      <c r="C20" s="7"/>
      <c r="D20" s="439">
        <v>18180997.095831212</v>
      </c>
      <c r="E20" s="412">
        <f>[1]Summary!$D$15</f>
        <v>-8615.0958312114981</v>
      </c>
      <c r="F20" s="412">
        <v>246231.89999999927</v>
      </c>
      <c r="G20" s="412">
        <f t="shared" si="2"/>
        <v>18418613.899999999</v>
      </c>
      <c r="H20" s="347">
        <f>'Total Tuition '!X20</f>
        <v>19007989.242274366</v>
      </c>
      <c r="I20" s="440">
        <f t="shared" si="0"/>
        <v>589375.34227436781</v>
      </c>
      <c r="J20" s="108">
        <f t="shared" si="1"/>
        <v>3.1998897716964896E-2</v>
      </c>
    </row>
    <row r="21" spans="1:10" ht="15" customHeight="1">
      <c r="A21" s="532" t="s">
        <v>22</v>
      </c>
      <c r="B21" s="533"/>
      <c r="C21" s="533"/>
      <c r="D21" s="534">
        <v>0</v>
      </c>
      <c r="E21" s="535"/>
      <c r="F21" s="535">
        <v>0</v>
      </c>
      <c r="G21" s="535">
        <f t="shared" si="2"/>
        <v>0</v>
      </c>
      <c r="H21" s="536">
        <f>+'Total Tuition '!X21</f>
        <v>0</v>
      </c>
      <c r="I21" s="537">
        <f t="shared" si="0"/>
        <v>0</v>
      </c>
      <c r="J21" s="607" t="s">
        <v>145</v>
      </c>
    </row>
    <row r="22" spans="1:10" ht="15" customHeight="1">
      <c r="A22" s="532" t="s">
        <v>23</v>
      </c>
      <c r="B22" s="533"/>
      <c r="C22" s="533"/>
      <c r="D22" s="534">
        <v>0</v>
      </c>
      <c r="E22" s="535"/>
      <c r="F22" s="535">
        <v>0</v>
      </c>
      <c r="G22" s="535">
        <f t="shared" si="2"/>
        <v>0</v>
      </c>
      <c r="H22" s="536">
        <f>+'Total Tuition '!X22</f>
        <v>0</v>
      </c>
      <c r="I22" s="537">
        <f t="shared" si="0"/>
        <v>0</v>
      </c>
      <c r="J22" s="607" t="s">
        <v>145</v>
      </c>
    </row>
    <row r="23" spans="1:10" ht="15" customHeight="1">
      <c r="A23" s="34" t="s">
        <v>24</v>
      </c>
      <c r="B23" s="7"/>
      <c r="C23" s="7"/>
      <c r="D23" s="439">
        <v>3820304.1211489495</v>
      </c>
      <c r="E23" s="412">
        <v>-1816.3711489496127</v>
      </c>
      <c r="F23" s="412">
        <v>379126.55359607178</v>
      </c>
      <c r="G23" s="412">
        <f t="shared" si="2"/>
        <v>4197614.3035960719</v>
      </c>
      <c r="H23" s="347">
        <f>'Total Tuition '!X23</f>
        <v>3688692.405578814</v>
      </c>
      <c r="I23" s="440">
        <f t="shared" si="0"/>
        <v>-508921.89801725792</v>
      </c>
      <c r="J23" s="108">
        <f t="shared" si="1"/>
        <v>-0.1212407480080453</v>
      </c>
    </row>
    <row r="24" spans="1:10" ht="15" customHeight="1">
      <c r="A24" s="34" t="s">
        <v>25</v>
      </c>
      <c r="B24" s="7"/>
      <c r="C24" s="7"/>
      <c r="D24" s="439">
        <v>4983414.3464666875</v>
      </c>
      <c r="E24" s="412">
        <f>[1]Summary!$D$19</f>
        <v>68695.335000000036</v>
      </c>
      <c r="F24" s="412">
        <v>62795.548131688265</v>
      </c>
      <c r="G24" s="412">
        <f t="shared" si="2"/>
        <v>5114905.229598376</v>
      </c>
      <c r="H24" s="347">
        <f>'Total Tuition '!X24</f>
        <v>5390062.9796125013</v>
      </c>
      <c r="I24" s="440">
        <f t="shared" si="0"/>
        <v>275157.75001412537</v>
      </c>
      <c r="J24" s="108">
        <f t="shared" si="1"/>
        <v>5.3795278243255126E-2</v>
      </c>
    </row>
    <row r="25" spans="1:10" ht="15" customHeight="1">
      <c r="A25" s="34" t="s">
        <v>57</v>
      </c>
      <c r="B25" s="7"/>
      <c r="C25" s="7"/>
      <c r="D25" s="439">
        <v>1179050</v>
      </c>
      <c r="E25" s="412"/>
      <c r="F25" s="412">
        <v>160038.33999999985</v>
      </c>
      <c r="G25" s="412">
        <f t="shared" si="2"/>
        <v>1339088.3399999999</v>
      </c>
      <c r="H25" s="347">
        <f>'Total Tuition '!X25</f>
        <v>0</v>
      </c>
      <c r="I25" s="440">
        <f t="shared" si="0"/>
        <v>-1339088.3399999999</v>
      </c>
      <c r="J25" s="108">
        <f t="shared" si="1"/>
        <v>-1</v>
      </c>
    </row>
    <row r="26" spans="1:10" ht="15" customHeight="1">
      <c r="A26" s="34" t="str">
        <f>+'Total Tuition '!A56</f>
        <v>LP - School of Information Sciences</v>
      </c>
      <c r="B26" s="7"/>
      <c r="C26" s="7"/>
      <c r="D26" s="439">
        <v>9012120</v>
      </c>
      <c r="E26" s="412">
        <f>[1]Summary!$D$21</f>
        <v>17112.2</v>
      </c>
      <c r="F26" s="412">
        <v>-156697.62659892393</v>
      </c>
      <c r="G26" s="412">
        <f>F26+D26+E26</f>
        <v>8872534.5734010749</v>
      </c>
      <c r="H26" s="347">
        <f>'Total Tuition '!X26</f>
        <v>10369048.431759322</v>
      </c>
      <c r="I26" s="440">
        <f t="shared" si="0"/>
        <v>1496513.8583582472</v>
      </c>
      <c r="J26" s="108">
        <f t="shared" si="1"/>
        <v>0.16866813490303417</v>
      </c>
    </row>
    <row r="27" spans="1:10" ht="15" customHeight="1">
      <c r="A27" s="35" t="s">
        <v>376</v>
      </c>
      <c r="B27" s="7"/>
      <c r="C27" s="7"/>
      <c r="D27" s="444">
        <v>0</v>
      </c>
      <c r="E27" s="412"/>
      <c r="F27" s="412"/>
      <c r="G27" s="413">
        <v>0</v>
      </c>
      <c r="H27" s="443">
        <f>+'Total Tuition '!X27</f>
        <v>1862192</v>
      </c>
      <c r="I27" s="446">
        <f t="shared" si="0"/>
        <v>1862192</v>
      </c>
      <c r="J27" s="109">
        <v>1</v>
      </c>
    </row>
    <row r="28" spans="1:10" ht="22.5" customHeight="1">
      <c r="A28" s="105"/>
      <c r="B28" s="106"/>
      <c r="C28" s="106" t="s">
        <v>2</v>
      </c>
      <c r="D28" s="451">
        <f t="shared" ref="D28:I28" si="3">SUM(D9:D27)</f>
        <v>361091152.02635723</v>
      </c>
      <c r="E28" s="235">
        <f t="shared" si="3"/>
        <v>-427281.59414515184</v>
      </c>
      <c r="F28" s="235">
        <f t="shared" si="3"/>
        <v>5223824.1003699731</v>
      </c>
      <c r="G28" s="235">
        <f t="shared" si="3"/>
        <v>365887694.5325821</v>
      </c>
      <c r="H28" s="448">
        <f t="shared" si="3"/>
        <v>378267858.61390543</v>
      </c>
      <c r="I28" s="453">
        <f t="shared" si="3"/>
        <v>12380164.081323417</v>
      </c>
      <c r="J28" s="110">
        <f t="shared" si="1"/>
        <v>3.3835967337297185E-2</v>
      </c>
    </row>
    <row r="29" spans="1:10" ht="16.5" customHeight="1">
      <c r="G29" s="2">
        <f>+G28-'Total Tuition '!X58</f>
        <v>0</v>
      </c>
      <c r="H29" s="291">
        <f>+H28-'Total Tuition '!X28</f>
        <v>0</v>
      </c>
    </row>
    <row r="30" spans="1:10">
      <c r="D30" s="2" t="s">
        <v>251</v>
      </c>
      <c r="E30" s="2">
        <f>+F28</f>
        <v>5223824.1003699731</v>
      </c>
    </row>
    <row r="31" spans="1:10">
      <c r="D31" s="2" t="s">
        <v>252</v>
      </c>
      <c r="E31" s="2">
        <f>+E28</f>
        <v>-427281.59414515184</v>
      </c>
    </row>
    <row r="32" spans="1:10">
      <c r="D32" s="2" t="s">
        <v>253</v>
      </c>
      <c r="E32" s="563">
        <f>+E30+E31</f>
        <v>4796542.5062248213</v>
      </c>
    </row>
    <row r="33" spans="5:5">
      <c r="E33" s="420">
        <f>+E32-F28-E28</f>
        <v>0</v>
      </c>
    </row>
    <row r="34" spans="5:5">
      <c r="E34" s="420"/>
    </row>
  </sheetData>
  <mergeCells count="4">
    <mergeCell ref="A6:H6"/>
    <mergeCell ref="A1:I1"/>
    <mergeCell ref="A2:I2"/>
    <mergeCell ref="A3:I3"/>
  </mergeCells>
  <printOptions horizontalCentered="1"/>
  <pageMargins left="0.75" right="0.75" top="1" bottom="1" header="0.5" footer="0.5"/>
  <pageSetup scale="80" orientation="landscape" r:id="rId1"/>
  <headerFooter alignWithMargins="0">
    <oddFooter>&amp;L&amp;9&amp;D
&amp;F
&amp;A</oddFooter>
  </headerFooter>
  <ignoredErrors>
    <ignoredError sqref="J9"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26"/>
  <sheetViews>
    <sheetView zoomScaleNormal="100" workbookViewId="0"/>
  </sheetViews>
  <sheetFormatPr defaultColWidth="8.85546875" defaultRowHeight="12.75"/>
  <cols>
    <col min="1" max="1" width="50.140625" style="71" bestFit="1" customWidth="1"/>
    <col min="2" max="2" width="2" style="71" customWidth="1"/>
    <col min="3" max="3" width="12.28515625" style="71" bestFit="1" customWidth="1"/>
    <col min="4" max="4" width="10.42578125" style="71" bestFit="1" customWidth="1"/>
    <col min="5" max="5" width="13.28515625" style="71" bestFit="1" customWidth="1"/>
    <col min="6" max="6" width="8.85546875" style="71" customWidth="1"/>
    <col min="7" max="7" width="10.42578125" style="71" bestFit="1" customWidth="1"/>
    <col min="8" max="8" width="10.28515625" style="71" bestFit="1" customWidth="1"/>
    <col min="9" max="9" width="11.28515625" style="71" bestFit="1" customWidth="1"/>
    <col min="10" max="16384" width="8.85546875" style="71"/>
  </cols>
  <sheetData>
    <row r="1" spans="1:9" s="228" customFormat="1" ht="15">
      <c r="A1" s="309" t="s">
        <v>301</v>
      </c>
      <c r="B1" s="227"/>
      <c r="C1" s="227"/>
      <c r="D1" s="227"/>
      <c r="E1" s="64"/>
    </row>
    <row r="2" spans="1:9" s="228" customFormat="1" ht="15">
      <c r="A2" s="227"/>
      <c r="B2" s="227"/>
      <c r="C2" s="70"/>
      <c r="D2" s="70"/>
    </row>
    <row r="3" spans="1:9" s="228" customFormat="1" ht="15">
      <c r="A3" s="592" t="s">
        <v>302</v>
      </c>
      <c r="B3" s="227"/>
      <c r="C3" s="72">
        <v>67815395</v>
      </c>
      <c r="D3" s="73"/>
      <c r="E3" s="283"/>
      <c r="I3" s="229"/>
    </row>
    <row r="4" spans="1:9" s="283" customFormat="1" ht="15">
      <c r="A4" s="592" t="s">
        <v>303</v>
      </c>
      <c r="B4" s="349"/>
      <c r="C4" s="70">
        <f>'Ugrad IU'!L27</f>
        <v>41304.999999995009</v>
      </c>
      <c r="D4" s="70"/>
    </row>
    <row r="5" spans="1:9" s="283" customFormat="1" ht="15.75" thickBot="1">
      <c r="A5" s="358" t="s">
        <v>181</v>
      </c>
      <c r="B5" s="358"/>
      <c r="C5" s="359">
        <f>SUM(C3:C4)</f>
        <v>67856700</v>
      </c>
      <c r="D5" s="70"/>
    </row>
    <row r="6" spans="1:9" s="228" customFormat="1" ht="15.75" thickTop="1">
      <c r="A6" s="227"/>
      <c r="B6" s="227"/>
      <c r="C6" s="72"/>
      <c r="D6" s="70"/>
    </row>
    <row r="7" spans="1:9" s="228" customFormat="1" ht="15">
      <c r="A7" s="592" t="s">
        <v>304</v>
      </c>
      <c r="B7" s="227"/>
      <c r="C7" s="72">
        <v>64242850</v>
      </c>
      <c r="D7" s="73"/>
    </row>
    <row r="8" spans="1:9" s="228" customFormat="1" ht="15">
      <c r="A8" s="592" t="s">
        <v>305</v>
      </c>
      <c r="B8" s="227"/>
      <c r="C8" s="70">
        <f>'Ugrad Enrollment'!L24</f>
        <v>-22374.999999999534</v>
      </c>
      <c r="D8" s="70"/>
    </row>
    <row r="9" spans="1:9" s="228" customFormat="1" ht="15.75" thickBot="1">
      <c r="A9" s="358" t="s">
        <v>182</v>
      </c>
      <c r="B9" s="358"/>
      <c r="C9" s="360">
        <f>'Ugrad Enrollment'!M24</f>
        <v>64220475</v>
      </c>
      <c r="D9" s="70"/>
    </row>
    <row r="10" spans="1:9" s="228" customFormat="1" ht="15.75" thickTop="1">
      <c r="A10" s="227"/>
      <c r="B10" s="227"/>
      <c r="C10" s="70"/>
      <c r="D10" s="70"/>
    </row>
    <row r="11" spans="1:9" s="283" customFormat="1" ht="15.75" thickBot="1">
      <c r="A11" s="358" t="s">
        <v>183</v>
      </c>
      <c r="B11" s="349"/>
      <c r="C11" s="360">
        <f>C9+C5</f>
        <v>132077175</v>
      </c>
      <c r="D11" s="70"/>
    </row>
    <row r="12" spans="1:9" s="283" customFormat="1" ht="15.75" thickTop="1">
      <c r="A12" s="349"/>
      <c r="B12" s="349"/>
      <c r="C12" s="70"/>
      <c r="D12" s="70"/>
    </row>
    <row r="13" spans="1:9" s="519" customFormat="1" ht="15">
      <c r="A13" s="309" t="s">
        <v>205</v>
      </c>
      <c r="C13" s="488"/>
      <c r="D13" s="488"/>
    </row>
    <row r="14" spans="1:9" s="519" customFormat="1" ht="15">
      <c r="C14" s="488"/>
      <c r="D14" s="488"/>
    </row>
    <row r="15" spans="1:9" s="519" customFormat="1" ht="15">
      <c r="A15" s="519" t="s">
        <v>172</v>
      </c>
      <c r="C15" s="488">
        <v>14598534</v>
      </c>
      <c r="D15" s="552"/>
      <c r="E15" s="488"/>
    </row>
    <row r="16" spans="1:9" s="519" customFormat="1" ht="15">
      <c r="A16" s="519" t="s">
        <v>31</v>
      </c>
      <c r="C16" s="408">
        <f>+C15*0.05</f>
        <v>729926.70000000007</v>
      </c>
      <c r="D16" s="488"/>
    </row>
    <row r="17" spans="1:4" s="519" customFormat="1" ht="15.75" thickBot="1">
      <c r="A17" s="489" t="s">
        <v>173</v>
      </c>
      <c r="B17" s="489"/>
      <c r="C17" s="490">
        <f>+C15-C16</f>
        <v>13868607.300000001</v>
      </c>
      <c r="D17" s="488"/>
    </row>
    <row r="18" spans="1:4" s="519" customFormat="1" ht="15.75" thickTop="1">
      <c r="C18" s="491"/>
      <c r="D18" s="488"/>
    </row>
    <row r="19" spans="1:4" s="519" customFormat="1" ht="15">
      <c r="A19" s="519" t="s">
        <v>176</v>
      </c>
      <c r="C19" s="491">
        <v>1303941</v>
      </c>
      <c r="D19" s="488"/>
    </row>
    <row r="20" spans="1:4" s="519" customFormat="1" ht="15">
      <c r="A20" s="519" t="s">
        <v>31</v>
      </c>
      <c r="C20" s="407">
        <f>+C19*0.05</f>
        <v>65197.05</v>
      </c>
      <c r="D20" s="488"/>
    </row>
    <row r="21" spans="1:4" s="519" customFormat="1" ht="15.75" thickBot="1">
      <c r="A21" s="489" t="s">
        <v>175</v>
      </c>
      <c r="B21" s="489"/>
      <c r="C21" s="490">
        <f>C19-C20</f>
        <v>1238743.95</v>
      </c>
      <c r="D21" s="488"/>
    </row>
    <row r="22" spans="1:4" s="551" customFormat="1" ht="13.5" thickTop="1"/>
    <row r="23" spans="1:4" s="551" customFormat="1" ht="15.75" thickBot="1">
      <c r="A23" s="489" t="s">
        <v>174</v>
      </c>
      <c r="C23" s="490">
        <f>C21+C17</f>
        <v>15107351.25</v>
      </c>
    </row>
    <row r="24" spans="1:4" ht="13.5" thickTop="1"/>
    <row r="26" spans="1:4">
      <c r="A26" s="71" t="s">
        <v>206</v>
      </c>
    </row>
  </sheetData>
  <pageMargins left="0.75" right="0.75" top="1" bottom="1" header="0.5" footer="0.5"/>
  <pageSetup orientation="portrait" r:id="rId1"/>
  <headerFooter alignWithMargins="0">
    <oddFooter>&amp;L&amp;9&amp;D
&amp;F
&amp;A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41"/>
  <sheetViews>
    <sheetView zoomScaleNormal="100" workbookViewId="0">
      <selection sqref="A1:M1"/>
    </sheetView>
  </sheetViews>
  <sheetFormatPr defaultColWidth="8.85546875" defaultRowHeight="12"/>
  <cols>
    <col min="1" max="1" width="4.85546875" style="2" customWidth="1"/>
    <col min="2" max="2" width="5.140625" style="2" customWidth="1"/>
    <col min="3" max="3" width="23.85546875" style="2" customWidth="1"/>
    <col min="4" max="5" width="12.28515625" style="2" bestFit="1" customWidth="1"/>
    <col min="6" max="6" width="12" style="2" bestFit="1" customWidth="1"/>
    <col min="7" max="10" width="11.28515625" style="2" customWidth="1"/>
    <col min="11" max="11" width="12.42578125" style="77" bestFit="1" customWidth="1"/>
    <col min="12" max="12" width="12" style="77" bestFit="1" customWidth="1"/>
    <col min="13" max="13" width="12.42578125" style="2" bestFit="1" customWidth="1"/>
    <col min="14" max="14" width="10.85546875" style="2" customWidth="1"/>
    <col min="15" max="16384" width="8.85546875" style="2"/>
  </cols>
  <sheetData>
    <row r="1" spans="1:14" s="18" customFormat="1" ht="15.75">
      <c r="A1" s="610" t="s">
        <v>6</v>
      </c>
      <c r="B1" s="610"/>
      <c r="C1" s="610"/>
      <c r="D1" s="610"/>
      <c r="E1" s="610"/>
      <c r="F1" s="610"/>
      <c r="G1" s="610"/>
      <c r="H1" s="610"/>
      <c r="I1" s="610"/>
      <c r="J1" s="610"/>
      <c r="K1" s="610"/>
      <c r="L1" s="610"/>
      <c r="M1" s="610"/>
      <c r="N1" s="75"/>
    </row>
    <row r="2" spans="1:14" s="18" customFormat="1" ht="15.75">
      <c r="A2" s="610" t="s">
        <v>306</v>
      </c>
      <c r="B2" s="610"/>
      <c r="C2" s="610"/>
      <c r="D2" s="610"/>
      <c r="E2" s="610"/>
      <c r="F2" s="610"/>
      <c r="G2" s="610"/>
      <c r="H2" s="610"/>
      <c r="I2" s="610"/>
      <c r="J2" s="610"/>
      <c r="K2" s="610"/>
      <c r="L2" s="610"/>
      <c r="M2" s="610"/>
      <c r="N2" s="75"/>
    </row>
    <row r="3" spans="1:14" s="18" customFormat="1" ht="15.75">
      <c r="A3" s="610" t="s">
        <v>307</v>
      </c>
      <c r="B3" s="610"/>
      <c r="C3" s="610"/>
      <c r="D3" s="610"/>
      <c r="E3" s="610"/>
      <c r="F3" s="610"/>
      <c r="G3" s="610"/>
      <c r="H3" s="610"/>
      <c r="I3" s="610"/>
      <c r="J3" s="610"/>
      <c r="K3" s="610"/>
      <c r="L3" s="610"/>
      <c r="M3" s="610"/>
      <c r="N3" s="75"/>
    </row>
    <row r="4" spans="1:14">
      <c r="A4" s="1"/>
    </row>
    <row r="6" spans="1:14" ht="12.75">
      <c r="A6" s="309" t="s">
        <v>308</v>
      </c>
      <c r="B6" s="77"/>
      <c r="C6" s="77"/>
      <c r="D6" s="77"/>
      <c r="E6" s="77"/>
      <c r="F6" s="77"/>
      <c r="G6" s="77"/>
      <c r="H6" s="77"/>
    </row>
    <row r="7" spans="1:14">
      <c r="A7" s="608"/>
      <c r="B7" s="608"/>
    </row>
    <row r="8" spans="1:14" ht="25.5" customHeight="1">
      <c r="A8" s="68" t="s">
        <v>309</v>
      </c>
      <c r="B8" s="3"/>
      <c r="C8" s="3"/>
      <c r="D8" s="111">
        <f>M27</f>
        <v>67856700</v>
      </c>
      <c r="E8" s="1"/>
      <c r="H8" s="81">
        <v>0</v>
      </c>
      <c r="I8" s="81"/>
    </row>
    <row r="9" spans="1:14" ht="25.5" customHeight="1">
      <c r="A9" s="309"/>
      <c r="B9" s="346"/>
      <c r="C9" s="346"/>
      <c r="D9" s="609" t="s">
        <v>230</v>
      </c>
      <c r="E9" s="609"/>
      <c r="F9" s="609"/>
      <c r="G9" s="609" t="s">
        <v>310</v>
      </c>
      <c r="H9" s="609"/>
      <c r="I9" s="609"/>
    </row>
    <row r="10" spans="1:14" s="1" customFormat="1" ht="52.5" customHeight="1">
      <c r="A10" s="43" t="s">
        <v>29</v>
      </c>
      <c r="B10" s="44"/>
      <c r="C10" s="44"/>
      <c r="D10" s="39" t="s">
        <v>0</v>
      </c>
      <c r="E10" s="40" t="s">
        <v>1</v>
      </c>
      <c r="F10" s="41" t="s">
        <v>129</v>
      </c>
      <c r="G10" s="39" t="s">
        <v>0</v>
      </c>
      <c r="H10" s="40" t="s">
        <v>1</v>
      </c>
      <c r="I10" s="41" t="s">
        <v>129</v>
      </c>
      <c r="J10" s="41" t="s">
        <v>312</v>
      </c>
      <c r="K10" s="41" t="s">
        <v>233</v>
      </c>
      <c r="L10" s="357" t="s">
        <v>371</v>
      </c>
      <c r="M10" s="357" t="s">
        <v>370</v>
      </c>
    </row>
    <row r="11" spans="1:14" ht="15" customHeight="1">
      <c r="A11" s="32" t="s">
        <v>11</v>
      </c>
      <c r="B11" s="4"/>
      <c r="C11" s="4"/>
      <c r="D11" s="356">
        <v>49330.5</v>
      </c>
      <c r="E11" s="5">
        <v>21118.3</v>
      </c>
      <c r="F11" s="231">
        <v>70448.800000000003</v>
      </c>
      <c r="G11" s="356">
        <v>49606.6</v>
      </c>
      <c r="H11" s="5">
        <v>21973.1</v>
      </c>
      <c r="I11" s="231">
        <f>H11+G11</f>
        <v>71579.7</v>
      </c>
      <c r="J11" s="347">
        <f>I11-F11</f>
        <v>1130.8999999999942</v>
      </c>
      <c r="K11" s="295">
        <v>4980008</v>
      </c>
      <c r="L11" s="419">
        <f>(J11*$D$39)</f>
        <v>124398.99999999936</v>
      </c>
      <c r="M11" s="419">
        <f>K11+L11</f>
        <v>5104406.9999999991</v>
      </c>
    </row>
    <row r="12" spans="1:14" ht="15" customHeight="1">
      <c r="A12" s="34" t="s">
        <v>379</v>
      </c>
      <c r="B12" s="7"/>
      <c r="C12" s="7"/>
      <c r="D12" s="356">
        <v>15423.400000000001</v>
      </c>
      <c r="E12" s="5">
        <v>43480</v>
      </c>
      <c r="F12" s="231">
        <v>58903.4</v>
      </c>
      <c r="G12" s="356">
        <v>14352.6</v>
      </c>
      <c r="H12" s="5">
        <v>45905</v>
      </c>
      <c r="I12" s="231">
        <f t="shared" ref="I12:I26" si="0">H12+G12</f>
        <v>60257.599999999999</v>
      </c>
      <c r="J12" s="347">
        <f t="shared" ref="J12:J26" si="1">I12-F12</f>
        <v>1354.1999999999971</v>
      </c>
      <c r="K12" s="295">
        <v>3889404</v>
      </c>
      <c r="L12" s="419">
        <f t="shared" ref="L12:L26" si="2">(J12*$D$39)</f>
        <v>148961.99999999968</v>
      </c>
      <c r="M12" s="419">
        <f t="shared" ref="M12:M23" si="3">K12+L12</f>
        <v>4038365.9999999995</v>
      </c>
    </row>
    <row r="13" spans="1:14" ht="15" customHeight="1">
      <c r="A13" s="34" t="s">
        <v>13</v>
      </c>
      <c r="B13" s="7"/>
      <c r="C13" s="7"/>
      <c r="D13" s="356">
        <v>8049.9</v>
      </c>
      <c r="E13" s="5">
        <v>13675.900000000001</v>
      </c>
      <c r="F13" s="231">
        <v>21725.800000000003</v>
      </c>
      <c r="G13" s="356">
        <v>10094.200000000001</v>
      </c>
      <c r="H13" s="5">
        <v>13666.7</v>
      </c>
      <c r="I13" s="231">
        <f t="shared" si="0"/>
        <v>23760.9</v>
      </c>
      <c r="J13" s="347">
        <f t="shared" si="1"/>
        <v>2035.0999999999985</v>
      </c>
      <c r="K13" s="295">
        <v>1237798</v>
      </c>
      <c r="L13" s="419">
        <f t="shared" si="2"/>
        <v>223860.99999999983</v>
      </c>
      <c r="M13" s="419">
        <f t="shared" si="3"/>
        <v>1461658.9999999998</v>
      </c>
    </row>
    <row r="14" spans="1:14" ht="15" customHeight="1">
      <c r="A14" s="34" t="s">
        <v>14</v>
      </c>
      <c r="B14" s="7"/>
      <c r="C14" s="7"/>
      <c r="D14" s="356">
        <v>96556.9</v>
      </c>
      <c r="E14" s="5">
        <v>100619.9</v>
      </c>
      <c r="F14" s="231">
        <v>197176.8</v>
      </c>
      <c r="G14" s="356">
        <v>96585.9</v>
      </c>
      <c r="H14" s="5">
        <v>98773.700000000012</v>
      </c>
      <c r="I14" s="231">
        <f t="shared" si="0"/>
        <v>195359.6</v>
      </c>
      <c r="J14" s="347">
        <f t="shared" si="1"/>
        <v>-1817.1999999999825</v>
      </c>
      <c r="K14" s="295">
        <v>14730828</v>
      </c>
      <c r="L14" s="419">
        <f t="shared" si="2"/>
        <v>-199891.99999999808</v>
      </c>
      <c r="M14" s="419">
        <f t="shared" si="3"/>
        <v>14530936.000000002</v>
      </c>
    </row>
    <row r="15" spans="1:14" ht="15" customHeight="1">
      <c r="A15" s="34" t="s">
        <v>15</v>
      </c>
      <c r="B15" s="7"/>
      <c r="C15" s="7"/>
      <c r="D15" s="356">
        <v>43503.5</v>
      </c>
      <c r="E15" s="5">
        <v>18901.8</v>
      </c>
      <c r="F15" s="231">
        <v>62405.3</v>
      </c>
      <c r="G15" s="356">
        <v>43123</v>
      </c>
      <c r="H15" s="5">
        <v>19038</v>
      </c>
      <c r="I15" s="231">
        <f t="shared" si="0"/>
        <v>62161</v>
      </c>
      <c r="J15" s="347">
        <f t="shared" si="1"/>
        <v>-244.30000000000291</v>
      </c>
      <c r="K15" s="295">
        <v>4108863.0000000005</v>
      </c>
      <c r="L15" s="419">
        <f t="shared" si="2"/>
        <v>-26873.00000000032</v>
      </c>
      <c r="M15" s="419">
        <f t="shared" si="3"/>
        <v>4081990</v>
      </c>
    </row>
    <row r="16" spans="1:14" ht="15" customHeight="1">
      <c r="A16" s="34" t="s">
        <v>16</v>
      </c>
      <c r="B16" s="7"/>
      <c r="C16" s="7"/>
      <c r="D16" s="356">
        <v>14559.4</v>
      </c>
      <c r="E16" s="5">
        <v>10506</v>
      </c>
      <c r="F16" s="231">
        <v>25065.4</v>
      </c>
      <c r="G16" s="356">
        <v>15396.599999999999</v>
      </c>
      <c r="H16" s="5">
        <v>10561</v>
      </c>
      <c r="I16" s="231">
        <f t="shared" si="0"/>
        <v>25957.599999999999</v>
      </c>
      <c r="J16" s="347">
        <f t="shared" si="1"/>
        <v>892.19999999999709</v>
      </c>
      <c r="K16" s="295">
        <v>1777604</v>
      </c>
      <c r="L16" s="419">
        <f t="shared" si="2"/>
        <v>98141.99999999968</v>
      </c>
      <c r="M16" s="419">
        <f t="shared" si="3"/>
        <v>1875745.9999999998</v>
      </c>
    </row>
    <row r="17" spans="1:14" ht="15" customHeight="1">
      <c r="A17" s="34" t="s">
        <v>17</v>
      </c>
      <c r="B17" s="7"/>
      <c r="C17" s="7"/>
      <c r="D17" s="356">
        <v>433</v>
      </c>
      <c r="E17" s="5">
        <v>877.9</v>
      </c>
      <c r="F17" s="231">
        <v>1310.9</v>
      </c>
      <c r="G17" s="356">
        <v>94</v>
      </c>
      <c r="H17" s="5">
        <v>871.2</v>
      </c>
      <c r="I17" s="231">
        <f t="shared" si="0"/>
        <v>965.2</v>
      </c>
      <c r="J17" s="347">
        <f t="shared" si="1"/>
        <v>-345.70000000000005</v>
      </c>
      <c r="K17" s="295">
        <v>85869.000000000015</v>
      </c>
      <c r="L17" s="419">
        <f t="shared" si="2"/>
        <v>-38027.000000000007</v>
      </c>
      <c r="M17" s="419">
        <f t="shared" si="3"/>
        <v>47842.000000000007</v>
      </c>
    </row>
    <row r="18" spans="1:14" ht="15" customHeight="1">
      <c r="A18" s="34" t="s">
        <v>18</v>
      </c>
      <c r="B18" s="7"/>
      <c r="C18" s="7"/>
      <c r="D18" s="356">
        <v>364445.30000000005</v>
      </c>
      <c r="E18" s="5">
        <v>122097</v>
      </c>
      <c r="F18" s="231">
        <v>486542.30000000005</v>
      </c>
      <c r="G18" s="356">
        <v>359495.8</v>
      </c>
      <c r="H18" s="5">
        <v>120767.7</v>
      </c>
      <c r="I18" s="231">
        <f t="shared" si="0"/>
        <v>480263.5</v>
      </c>
      <c r="J18" s="347">
        <f t="shared" si="1"/>
        <v>-6278.8000000000466</v>
      </c>
      <c r="K18" s="295">
        <v>29806983.000000004</v>
      </c>
      <c r="L18" s="419">
        <f t="shared" si="2"/>
        <v>-690668.00000000512</v>
      </c>
      <c r="M18" s="419">
        <f t="shared" si="3"/>
        <v>29116315</v>
      </c>
    </row>
    <row r="19" spans="1:14" ht="15" customHeight="1">
      <c r="A19" s="34" t="s">
        <v>19</v>
      </c>
      <c r="B19" s="7"/>
      <c r="C19" s="7"/>
      <c r="D19" s="356">
        <v>2362.6</v>
      </c>
      <c r="E19" s="5">
        <v>263.2</v>
      </c>
      <c r="F19" s="231">
        <v>2625.7999999999997</v>
      </c>
      <c r="G19" s="356">
        <v>1939.1</v>
      </c>
      <c r="H19" s="5">
        <v>119.3</v>
      </c>
      <c r="I19" s="231">
        <f t="shared" si="0"/>
        <v>2058.4</v>
      </c>
      <c r="J19" s="347">
        <f t="shared" si="1"/>
        <v>-567.39999999999964</v>
      </c>
      <c r="K19" s="295">
        <v>215818</v>
      </c>
      <c r="L19" s="419">
        <f t="shared" si="2"/>
        <v>-62413.999999999956</v>
      </c>
      <c r="M19" s="419">
        <f t="shared" si="3"/>
        <v>153404.00000000006</v>
      </c>
    </row>
    <row r="20" spans="1:14" ht="15" customHeight="1">
      <c r="A20" s="34" t="s">
        <v>20</v>
      </c>
      <c r="B20" s="7"/>
      <c r="C20" s="7"/>
      <c r="D20" s="356">
        <v>62757.9</v>
      </c>
      <c r="E20" s="5">
        <v>22305.9</v>
      </c>
      <c r="F20" s="231">
        <v>85063.8</v>
      </c>
      <c r="G20" s="356">
        <v>70296.600000000006</v>
      </c>
      <c r="H20" s="5">
        <v>21321.7</v>
      </c>
      <c r="I20" s="231">
        <f t="shared" si="0"/>
        <v>91618.3</v>
      </c>
      <c r="J20" s="347">
        <f t="shared" si="1"/>
        <v>6554.5</v>
      </c>
      <c r="K20" s="295">
        <v>6203408.0000000009</v>
      </c>
      <c r="L20" s="419">
        <f t="shared" si="2"/>
        <v>720995</v>
      </c>
      <c r="M20" s="419">
        <f t="shared" si="3"/>
        <v>6924403.0000000009</v>
      </c>
    </row>
    <row r="21" spans="1:14" ht="15" customHeight="1">
      <c r="A21" s="34" t="s">
        <v>21</v>
      </c>
      <c r="B21" s="7"/>
      <c r="C21" s="7"/>
      <c r="D21" s="356">
        <v>73</v>
      </c>
      <c r="E21" s="5">
        <v>279.7</v>
      </c>
      <c r="F21" s="231">
        <v>352.7</v>
      </c>
      <c r="G21" s="356">
        <v>65</v>
      </c>
      <c r="H21" s="5">
        <v>235.5</v>
      </c>
      <c r="I21" s="231">
        <f t="shared" si="0"/>
        <v>300.5</v>
      </c>
      <c r="J21" s="347">
        <f t="shared" si="1"/>
        <v>-52.199999999999989</v>
      </c>
      <c r="K21" s="295">
        <v>28237</v>
      </c>
      <c r="L21" s="419">
        <f t="shared" si="2"/>
        <v>-5741.9999999999991</v>
      </c>
      <c r="M21" s="419">
        <f t="shared" si="3"/>
        <v>22495</v>
      </c>
    </row>
    <row r="22" spans="1:14" ht="15" customHeight="1">
      <c r="A22" s="34" t="s">
        <v>22</v>
      </c>
      <c r="B22" s="7"/>
      <c r="C22" s="7"/>
      <c r="D22" s="356">
        <v>963</v>
      </c>
      <c r="E22" s="5">
        <v>739</v>
      </c>
      <c r="F22" s="231">
        <v>1702</v>
      </c>
      <c r="G22" s="356">
        <v>883</v>
      </c>
      <c r="H22" s="5">
        <v>794</v>
      </c>
      <c r="I22" s="231">
        <f t="shared" si="0"/>
        <v>1677</v>
      </c>
      <c r="J22" s="347">
        <f t="shared" si="1"/>
        <v>-25</v>
      </c>
      <c r="K22" s="295">
        <v>99610</v>
      </c>
      <c r="L22" s="419">
        <f t="shared" si="2"/>
        <v>-2750</v>
      </c>
      <c r="M22" s="419">
        <f t="shared" si="3"/>
        <v>96860</v>
      </c>
    </row>
    <row r="23" spans="1:14" ht="15" customHeight="1">
      <c r="A23" s="34" t="s">
        <v>23</v>
      </c>
      <c r="B23" s="7"/>
      <c r="C23" s="7"/>
      <c r="D23" s="356">
        <v>0</v>
      </c>
      <c r="E23" s="5">
        <v>0</v>
      </c>
      <c r="F23" s="231">
        <v>0</v>
      </c>
      <c r="G23" s="2">
        <v>0</v>
      </c>
      <c r="H23" s="2">
        <v>0</v>
      </c>
      <c r="I23" s="231">
        <f t="shared" si="0"/>
        <v>0</v>
      </c>
      <c r="J23" s="347">
        <f t="shared" si="1"/>
        <v>0</v>
      </c>
      <c r="K23" s="295">
        <v>-90900</v>
      </c>
      <c r="L23" s="419">
        <f t="shared" si="2"/>
        <v>0</v>
      </c>
      <c r="M23" s="419">
        <f t="shared" si="3"/>
        <v>-90900</v>
      </c>
      <c r="N23" s="361" t="s">
        <v>283</v>
      </c>
    </row>
    <row r="24" spans="1:14" ht="15" customHeight="1">
      <c r="A24" s="294" t="s">
        <v>24</v>
      </c>
      <c r="B24" s="6"/>
      <c r="C24" s="6"/>
      <c r="D24" s="356">
        <v>2562.5</v>
      </c>
      <c r="E24" s="5">
        <v>85</v>
      </c>
      <c r="F24" s="558">
        <v>2647.5</v>
      </c>
      <c r="G24" s="356">
        <v>176</v>
      </c>
      <c r="H24" s="5">
        <v>114</v>
      </c>
      <c r="I24" s="558">
        <f t="shared" si="0"/>
        <v>290</v>
      </c>
      <c r="J24" s="347">
        <f t="shared" si="1"/>
        <v>-2357.5</v>
      </c>
      <c r="K24" s="295">
        <v>-43455</v>
      </c>
      <c r="L24" s="419">
        <f t="shared" si="2"/>
        <v>-259325</v>
      </c>
      <c r="M24" s="419">
        <f>K24+L24</f>
        <v>-302780</v>
      </c>
      <c r="N24" s="361" t="s">
        <v>283</v>
      </c>
    </row>
    <row r="25" spans="1:14" ht="15" customHeight="1">
      <c r="A25" s="34" t="s">
        <v>25</v>
      </c>
      <c r="B25" s="7"/>
      <c r="C25" s="7"/>
      <c r="D25" s="356">
        <v>1557.8000000000002</v>
      </c>
      <c r="E25" s="5">
        <v>5087</v>
      </c>
      <c r="F25" s="231">
        <v>6644.8</v>
      </c>
      <c r="G25" s="356">
        <v>1620.5</v>
      </c>
      <c r="H25" s="5">
        <v>4825</v>
      </c>
      <c r="I25" s="231">
        <f t="shared" si="0"/>
        <v>6445.5</v>
      </c>
      <c r="J25" s="347">
        <f t="shared" si="1"/>
        <v>-199.30000000000018</v>
      </c>
      <c r="K25" s="295">
        <v>624988.00000000012</v>
      </c>
      <c r="L25" s="419">
        <f t="shared" si="2"/>
        <v>-21923.000000000022</v>
      </c>
      <c r="M25" s="419">
        <f>K25+L25</f>
        <v>603065.00000000012</v>
      </c>
    </row>
    <row r="26" spans="1:14" ht="15" customHeight="1">
      <c r="A26" s="35" t="s">
        <v>287</v>
      </c>
      <c r="B26" s="8"/>
      <c r="C26" s="8"/>
      <c r="D26" s="356">
        <v>738</v>
      </c>
      <c r="E26" s="5">
        <v>1080.2</v>
      </c>
      <c r="F26" s="231">
        <v>1818.2</v>
      </c>
      <c r="G26" s="356">
        <v>935.6</v>
      </c>
      <c r="H26" s="5">
        <v>1178.5999999999999</v>
      </c>
      <c r="I26" s="231">
        <f t="shared" si="0"/>
        <v>2114.1999999999998</v>
      </c>
      <c r="J26" s="347">
        <f t="shared" si="1"/>
        <v>295.99999999999977</v>
      </c>
      <c r="K26" s="295">
        <v>160332</v>
      </c>
      <c r="L26" s="419">
        <f t="shared" si="2"/>
        <v>32559.999999999975</v>
      </c>
      <c r="M26" s="419">
        <f>K26+L26</f>
        <v>192891.99999999997</v>
      </c>
    </row>
    <row r="27" spans="1:14" ht="22.5" customHeight="1">
      <c r="A27" s="37"/>
      <c r="B27" s="38"/>
      <c r="C27" s="38" t="s">
        <v>2</v>
      </c>
      <c r="D27" s="232">
        <v>663316.70000000007</v>
      </c>
      <c r="E27" s="233">
        <v>361116.80000000005</v>
      </c>
      <c r="F27" s="234">
        <v>1024433.5000000001</v>
      </c>
      <c r="G27" s="232">
        <f t="shared" ref="G27:M27" si="4">SUM(G11:G26)</f>
        <v>664664.49999999988</v>
      </c>
      <c r="H27" s="233">
        <f>SUM(H11:H26)</f>
        <v>360144.5</v>
      </c>
      <c r="I27" s="234">
        <f t="shared" si="4"/>
        <v>1024809</v>
      </c>
      <c r="J27" s="234">
        <f t="shared" si="4"/>
        <v>375.49999999995521</v>
      </c>
      <c r="K27" s="418">
        <f t="shared" si="4"/>
        <v>67815395</v>
      </c>
      <c r="L27" s="418">
        <f t="shared" si="4"/>
        <v>41304.999999995009</v>
      </c>
      <c r="M27" s="418">
        <f t="shared" si="4"/>
        <v>67856700</v>
      </c>
    </row>
    <row r="28" spans="1:14">
      <c r="E28" s="7"/>
    </row>
    <row r="29" spans="1:14">
      <c r="I29" s="9"/>
    </row>
    <row r="30" spans="1:14">
      <c r="C30" s="10" t="s">
        <v>3</v>
      </c>
      <c r="D30" s="11" t="s">
        <v>4</v>
      </c>
      <c r="E30" s="11" t="s">
        <v>52</v>
      </c>
      <c r="F30" s="11" t="s">
        <v>5</v>
      </c>
    </row>
    <row r="31" spans="1:14">
      <c r="C31" s="12" t="s">
        <v>178</v>
      </c>
      <c r="D31" s="98">
        <v>63</v>
      </c>
      <c r="E31" s="2">
        <v>941744</v>
      </c>
      <c r="F31" s="2">
        <v>59329872</v>
      </c>
    </row>
    <row r="32" spans="1:14">
      <c r="C32" s="2" t="s">
        <v>179</v>
      </c>
      <c r="D32" s="98">
        <v>85</v>
      </c>
      <c r="E32" s="2">
        <v>9671.799999999992</v>
      </c>
      <c r="F32" s="2">
        <v>822102.9999999993</v>
      </c>
      <c r="J32" s="230"/>
      <c r="K32" s="292"/>
      <c r="L32" s="292"/>
    </row>
    <row r="33" spans="3:12">
      <c r="C33" s="2" t="s">
        <v>187</v>
      </c>
      <c r="D33" s="98">
        <v>95</v>
      </c>
      <c r="E33" s="2">
        <v>24573</v>
      </c>
      <c r="F33" s="2">
        <v>2334435</v>
      </c>
      <c r="J33" s="230"/>
      <c r="K33" s="292"/>
      <c r="L33" s="292"/>
    </row>
    <row r="34" spans="3:12">
      <c r="C34" s="2" t="s">
        <v>198</v>
      </c>
      <c r="D34" s="98">
        <v>110</v>
      </c>
      <c r="E34" s="2">
        <v>404</v>
      </c>
      <c r="F34" s="77">
        <v>44497</v>
      </c>
      <c r="J34" s="230"/>
      <c r="K34" s="292"/>
      <c r="L34" s="292"/>
    </row>
    <row r="35" spans="3:12">
      <c r="C35" s="2" t="s">
        <v>208</v>
      </c>
      <c r="D35" s="98">
        <v>110</v>
      </c>
      <c r="E35" s="2">
        <v>11971.299999999985</v>
      </c>
      <c r="F35" s="2">
        <v>1316842.9999999984</v>
      </c>
      <c r="J35" s="230"/>
      <c r="K35" s="292"/>
      <c r="L35" s="292"/>
    </row>
    <row r="36" spans="3:12">
      <c r="C36" s="2" t="s">
        <v>213</v>
      </c>
      <c r="D36" s="98">
        <v>110</v>
      </c>
      <c r="E36" s="2">
        <v>5021.5000000000055</v>
      </c>
      <c r="F36" s="2">
        <v>552365.00000000058</v>
      </c>
      <c r="J36" s="230"/>
      <c r="K36" s="292"/>
      <c r="L36" s="292"/>
    </row>
    <row r="37" spans="3:12">
      <c r="C37" s="2" t="s">
        <v>216</v>
      </c>
      <c r="D37" s="98">
        <v>110</v>
      </c>
      <c r="E37" s="2">
        <v>17698.000000000007</v>
      </c>
      <c r="F37" s="2">
        <v>1946780.0000000007</v>
      </c>
      <c r="J37" s="230"/>
      <c r="K37" s="292"/>
      <c r="L37" s="292"/>
    </row>
    <row r="38" spans="3:12">
      <c r="C38" s="2" t="s">
        <v>236</v>
      </c>
      <c r="D38" s="98">
        <v>110</v>
      </c>
      <c r="E38" s="2">
        <v>13350.000000000013</v>
      </c>
      <c r="F38" s="2">
        <v>1468500.0000000014</v>
      </c>
      <c r="J38" s="230"/>
      <c r="K38" s="292"/>
      <c r="L38" s="292"/>
    </row>
    <row r="39" spans="3:12">
      <c r="C39" s="2" t="s">
        <v>311</v>
      </c>
      <c r="D39" s="98">
        <v>110</v>
      </c>
      <c r="E39" s="2">
        <f>+J27</f>
        <v>375.49999999995521</v>
      </c>
      <c r="F39" s="2">
        <f>D39*E39</f>
        <v>41304.999999995074</v>
      </c>
      <c r="J39" s="230"/>
      <c r="K39" s="292"/>
      <c r="L39" s="292"/>
    </row>
    <row r="40" spans="3:12" ht="12.75" thickBot="1">
      <c r="F40" s="348">
        <f>SUM(F31:F39)</f>
        <v>67856700</v>
      </c>
      <c r="H40" s="286"/>
      <c r="J40" s="81"/>
      <c r="K40" s="293"/>
      <c r="L40" s="293"/>
    </row>
    <row r="41" spans="3:12" ht="12.75" thickTop="1">
      <c r="D41" s="291"/>
    </row>
  </sheetData>
  <mergeCells count="6">
    <mergeCell ref="A7:B7"/>
    <mergeCell ref="D9:F9"/>
    <mergeCell ref="G9:I9"/>
    <mergeCell ref="A1:M1"/>
    <mergeCell ref="A2:M2"/>
    <mergeCell ref="A3:M3"/>
  </mergeCells>
  <printOptions horizontalCentered="1"/>
  <pageMargins left="0.75" right="0.75" top="1" bottom="1" header="0.5" footer="0.5"/>
  <pageSetup scale="82" fitToHeight="0" orientation="landscape" r:id="rId1"/>
  <headerFooter alignWithMargins="0">
    <oddFooter>&amp;L&amp;9&amp;D
&amp;F
&amp;A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A43"/>
  <sheetViews>
    <sheetView zoomScaleNormal="100" workbookViewId="0">
      <selection sqref="A1:J1"/>
    </sheetView>
  </sheetViews>
  <sheetFormatPr defaultRowHeight="11.25"/>
  <cols>
    <col min="1" max="1" width="34.42578125" style="20" customWidth="1"/>
    <col min="2" max="2" width="11.140625" style="20" bestFit="1" customWidth="1"/>
    <col min="3" max="3" width="11.28515625" style="20" customWidth="1"/>
    <col min="4" max="4" width="11" style="20" bestFit="1" customWidth="1"/>
    <col min="5" max="5" width="11.5703125" style="20" bestFit="1" customWidth="1"/>
    <col min="6" max="6" width="11.140625" style="20" customWidth="1"/>
    <col min="7" max="7" width="10" style="20" bestFit="1" customWidth="1"/>
    <col min="8" max="8" width="10.42578125" style="20" bestFit="1" customWidth="1"/>
    <col min="9" max="9" width="11.140625" style="20" bestFit="1" customWidth="1"/>
    <col min="10" max="10" width="9.85546875" style="20" bestFit="1" customWidth="1"/>
    <col min="11" max="11" width="12.42578125" style="20" bestFit="1" customWidth="1"/>
    <col min="12" max="12" width="11" style="20" bestFit="1" customWidth="1"/>
    <col min="13" max="13" width="12.42578125" style="20" bestFit="1" customWidth="1"/>
    <col min="14" max="14" width="12.28515625" style="20" customWidth="1"/>
    <col min="15" max="16" width="12.42578125" style="20" bestFit="1" customWidth="1"/>
    <col min="17" max="17" width="10.28515625" style="19" bestFit="1" customWidth="1"/>
    <col min="18" max="18" width="7.140625" style="19" bestFit="1" customWidth="1"/>
    <col min="19" max="19" width="10.28515625" style="19" bestFit="1" customWidth="1"/>
    <col min="20" max="20" width="10.42578125" style="19" customWidth="1"/>
    <col min="21" max="21" width="9" style="20" bestFit="1" customWidth="1"/>
    <col min="22" max="22" width="11.28515625" style="20" bestFit="1" customWidth="1"/>
    <col min="23" max="23" width="8.7109375" style="20" bestFit="1" customWidth="1"/>
    <col min="24" max="24" width="11.28515625" style="20" bestFit="1" customWidth="1"/>
    <col min="25" max="27" width="9.85546875" style="20" bestFit="1" customWidth="1"/>
    <col min="28" max="28" width="11.28515625" style="20" bestFit="1" customWidth="1"/>
    <col min="29" max="54" width="9.85546875" style="20" bestFit="1" customWidth="1"/>
    <col min="55" max="55" width="10.5703125" style="20" bestFit="1" customWidth="1"/>
    <col min="56" max="16384" width="9.140625" style="20"/>
  </cols>
  <sheetData>
    <row r="1" spans="1:27" s="18" customFormat="1" ht="15.75">
      <c r="A1" s="610" t="s">
        <v>6</v>
      </c>
      <c r="B1" s="610"/>
      <c r="C1" s="610"/>
      <c r="D1" s="610"/>
      <c r="E1" s="610"/>
      <c r="F1" s="610"/>
      <c r="G1" s="610"/>
      <c r="H1" s="610"/>
      <c r="I1" s="610"/>
      <c r="J1" s="610"/>
      <c r="K1" s="75"/>
      <c r="L1" s="75"/>
      <c r="M1" s="75"/>
      <c r="N1" s="75"/>
      <c r="O1" s="75"/>
      <c r="P1" s="75"/>
      <c r="Q1" s="75"/>
      <c r="R1" s="75"/>
      <c r="S1" s="75"/>
      <c r="T1" s="75"/>
      <c r="U1" s="75"/>
    </row>
    <row r="2" spans="1:27" s="18" customFormat="1" ht="15.75">
      <c r="A2" s="610" t="s">
        <v>184</v>
      </c>
      <c r="B2" s="610"/>
      <c r="C2" s="610"/>
      <c r="D2" s="610"/>
      <c r="E2" s="610"/>
      <c r="F2" s="610"/>
      <c r="G2" s="610"/>
      <c r="H2" s="610"/>
      <c r="I2" s="610"/>
      <c r="J2" s="610"/>
      <c r="K2" s="75"/>
      <c r="L2" s="75"/>
      <c r="M2" s="75"/>
      <c r="N2" s="75"/>
      <c r="O2" s="75"/>
      <c r="P2" s="75"/>
      <c r="Q2" s="75"/>
      <c r="R2" s="75"/>
      <c r="S2" s="75"/>
      <c r="T2" s="75"/>
      <c r="U2" s="75"/>
    </row>
    <row r="3" spans="1:27" s="18" customFormat="1" ht="15.75">
      <c r="A3" s="610" t="s">
        <v>313</v>
      </c>
      <c r="B3" s="610"/>
      <c r="C3" s="610"/>
      <c r="D3" s="610"/>
      <c r="E3" s="610"/>
      <c r="F3" s="610"/>
      <c r="G3" s="610"/>
      <c r="H3" s="610"/>
      <c r="I3" s="610"/>
      <c r="J3" s="610"/>
      <c r="K3" s="75"/>
      <c r="L3" s="75"/>
      <c r="M3" s="75"/>
      <c r="N3" s="75"/>
      <c r="O3" s="75"/>
      <c r="P3" s="75"/>
      <c r="Q3" s="75"/>
      <c r="R3" s="75"/>
      <c r="S3" s="75"/>
      <c r="T3" s="75"/>
      <c r="U3" s="75"/>
    </row>
    <row r="4" spans="1:27" s="13" customFormat="1" ht="12.75">
      <c r="A4" s="14"/>
      <c r="B4" s="14"/>
      <c r="C4" s="14"/>
      <c r="D4" s="14"/>
      <c r="E4" s="14"/>
      <c r="F4" s="14"/>
      <c r="G4" s="14"/>
      <c r="H4" s="14"/>
      <c r="I4" s="14"/>
      <c r="J4" s="14"/>
      <c r="K4" s="14"/>
      <c r="L4" s="14"/>
      <c r="M4" s="14"/>
      <c r="N4" s="14"/>
      <c r="O4" s="14"/>
      <c r="P4" s="14"/>
      <c r="Q4" s="15"/>
      <c r="R4" s="15"/>
      <c r="S4" s="15"/>
      <c r="T4" s="15"/>
    </row>
    <row r="5" spans="1:27" s="18" customFormat="1" ht="15.75">
      <c r="A5" s="16"/>
      <c r="B5" s="16"/>
      <c r="C5" s="16"/>
      <c r="D5" s="16"/>
      <c r="E5" s="16"/>
      <c r="F5" s="16"/>
      <c r="G5" s="16"/>
      <c r="H5" s="16"/>
      <c r="I5" s="16"/>
      <c r="J5" s="16"/>
      <c r="K5" s="16"/>
      <c r="L5" s="16"/>
      <c r="M5" s="16"/>
      <c r="N5" s="16"/>
      <c r="O5" s="16"/>
      <c r="P5" s="16"/>
      <c r="Q5" s="17"/>
      <c r="R5" s="17"/>
      <c r="S5" s="17"/>
      <c r="T5" s="17"/>
    </row>
    <row r="6" spans="1:27" s="23" customFormat="1" ht="12">
      <c r="B6" s="311"/>
      <c r="D6" s="27"/>
      <c r="F6" s="27"/>
      <c r="H6" s="27"/>
      <c r="I6" s="28"/>
      <c r="J6" s="27"/>
      <c r="K6" s="27"/>
      <c r="L6" s="27"/>
      <c r="M6" s="27"/>
      <c r="N6" s="27"/>
      <c r="O6" s="27"/>
    </row>
    <row r="7" spans="1:27" s="23" customFormat="1" ht="12">
      <c r="A7" s="414" t="s">
        <v>177</v>
      </c>
      <c r="B7" s="415"/>
      <c r="C7" s="415"/>
      <c r="D7" s="415"/>
      <c r="E7" s="415"/>
      <c r="F7" s="415"/>
      <c r="H7" s="27"/>
      <c r="I7" s="27"/>
      <c r="J7" s="27"/>
      <c r="K7" s="27"/>
      <c r="L7" s="27"/>
      <c r="M7" s="27"/>
      <c r="N7" s="27"/>
      <c r="O7" s="27"/>
      <c r="R7" s="25"/>
      <c r="S7" s="24"/>
      <c r="U7" s="29"/>
      <c r="V7" s="29"/>
      <c r="X7" s="27"/>
      <c r="Y7" s="27"/>
      <c r="Z7" s="27"/>
      <c r="AA7" s="27"/>
    </row>
    <row r="8" spans="1:27" s="23" customFormat="1" ht="12">
      <c r="A8" s="339"/>
      <c r="B8" s="340"/>
      <c r="C8" s="340"/>
      <c r="D8" s="340"/>
      <c r="E8" s="340"/>
      <c r="F8" s="340"/>
      <c r="H8" s="27"/>
      <c r="I8" s="27"/>
      <c r="J8" s="27"/>
      <c r="K8" s="27"/>
      <c r="L8" s="27"/>
      <c r="M8" s="27"/>
      <c r="N8" s="27"/>
      <c r="O8" s="27"/>
      <c r="R8" s="25"/>
      <c r="S8" s="24"/>
      <c r="U8" s="29"/>
      <c r="V8" s="29"/>
      <c r="X8" s="27"/>
      <c r="Y8" s="27"/>
      <c r="Z8" s="27"/>
      <c r="AA8" s="27"/>
    </row>
    <row r="9" spans="1:27" s="23" customFormat="1" ht="12.75">
      <c r="A9" s="342" t="s">
        <v>314</v>
      </c>
      <c r="B9" s="335"/>
      <c r="C9" s="336"/>
      <c r="D9" s="328"/>
      <c r="E9" s="328"/>
      <c r="F9" s="82"/>
      <c r="G9" s="82"/>
      <c r="H9" s="82"/>
      <c r="Q9" s="24"/>
      <c r="R9" s="24"/>
      <c r="S9" s="24"/>
      <c r="T9" s="24"/>
    </row>
    <row r="10" spans="1:27" s="23" customFormat="1" ht="12.75">
      <c r="A10" s="343"/>
      <c r="B10" s="617" t="s">
        <v>231</v>
      </c>
      <c r="C10" s="618"/>
      <c r="D10" s="619"/>
      <c r="E10" s="611" t="s">
        <v>315</v>
      </c>
      <c r="F10" s="612"/>
      <c r="G10" s="613"/>
      <c r="H10" s="614" t="s">
        <v>316</v>
      </c>
      <c r="I10" s="615"/>
      <c r="J10" s="616"/>
      <c r="Q10" s="24"/>
      <c r="R10" s="24"/>
      <c r="S10" s="24"/>
      <c r="T10" s="24"/>
    </row>
    <row r="11" spans="1:27" s="23" customFormat="1" ht="15" customHeight="1">
      <c r="A11" s="331"/>
      <c r="B11" s="337" t="s">
        <v>168</v>
      </c>
      <c r="C11" s="334" t="s">
        <v>169</v>
      </c>
      <c r="D11" s="334" t="s">
        <v>113</v>
      </c>
      <c r="E11" s="337" t="s">
        <v>168</v>
      </c>
      <c r="F11" s="334" t="s">
        <v>169</v>
      </c>
      <c r="G11" s="334" t="s">
        <v>113</v>
      </c>
      <c r="H11" s="326" t="s">
        <v>168</v>
      </c>
      <c r="I11" s="326" t="s">
        <v>169</v>
      </c>
      <c r="J11" s="338" t="s">
        <v>317</v>
      </c>
      <c r="K11" s="327" t="s">
        <v>232</v>
      </c>
      <c r="L11" s="341" t="s">
        <v>318</v>
      </c>
      <c r="M11" s="341" t="s">
        <v>318</v>
      </c>
      <c r="U11" s="24"/>
      <c r="V11" s="24"/>
      <c r="W11" s="24"/>
      <c r="X11" s="24"/>
    </row>
    <row r="12" spans="1:27" s="23" customFormat="1" ht="15" customHeight="1">
      <c r="A12" s="332"/>
      <c r="B12" s="79" t="s">
        <v>10</v>
      </c>
      <c r="C12" s="80" t="s">
        <v>10</v>
      </c>
      <c r="D12" s="80" t="s">
        <v>217</v>
      </c>
      <c r="E12" s="79" t="s">
        <v>10</v>
      </c>
      <c r="F12" s="80" t="s">
        <v>10</v>
      </c>
      <c r="G12" s="80" t="s">
        <v>232</v>
      </c>
      <c r="H12" s="78" t="s">
        <v>167</v>
      </c>
      <c r="I12" s="78" t="s">
        <v>144</v>
      </c>
      <c r="J12" s="278" t="s">
        <v>131</v>
      </c>
      <c r="K12" s="80" t="s">
        <v>144</v>
      </c>
      <c r="L12" s="80" t="s">
        <v>131</v>
      </c>
      <c r="M12" s="80" t="s">
        <v>144</v>
      </c>
      <c r="U12" s="24"/>
      <c r="V12" s="24"/>
      <c r="W12" s="24"/>
      <c r="X12" s="24"/>
    </row>
    <row r="13" spans="1:27" s="23" customFormat="1" ht="15" customHeight="1">
      <c r="A13" s="34" t="s">
        <v>11</v>
      </c>
      <c r="B13" s="102">
        <v>2184</v>
      </c>
      <c r="C13" s="210">
        <v>373</v>
      </c>
      <c r="D13" s="383">
        <f>SUM(B13:C13)</f>
        <v>2557</v>
      </c>
      <c r="E13" s="102">
        <v>2164.5</v>
      </c>
      <c r="F13" s="210">
        <v>377</v>
      </c>
      <c r="G13" s="383">
        <f>SUM(E13:F13)</f>
        <v>2541.5</v>
      </c>
      <c r="H13" s="102">
        <f>+E13-B13</f>
        <v>-19.5</v>
      </c>
      <c r="I13" s="210">
        <f>+F13-C13</f>
        <v>4</v>
      </c>
      <c r="J13" s="383">
        <f>SUM(H13:I13)</f>
        <v>-15.5</v>
      </c>
      <c r="K13" s="421">
        <v>4580000</v>
      </c>
      <c r="L13" s="421">
        <f>J13*2500</f>
        <v>-38750</v>
      </c>
      <c r="M13" s="422">
        <f>K13+L13</f>
        <v>4541250</v>
      </c>
      <c r="N13" s="345"/>
      <c r="O13" s="420"/>
      <c r="P13" s="420"/>
      <c r="U13" s="24"/>
      <c r="V13" s="24"/>
    </row>
    <row r="14" spans="1:27" s="23" customFormat="1" ht="15" customHeight="1">
      <c r="A14" s="34" t="s">
        <v>379</v>
      </c>
      <c r="B14" s="103">
        <v>2105.5</v>
      </c>
      <c r="C14" s="100">
        <v>893.5</v>
      </c>
      <c r="D14" s="383">
        <f t="shared" ref="D14:D23" si="0">SUM(B14:C14)</f>
        <v>2999</v>
      </c>
      <c r="E14" s="103">
        <v>2133</v>
      </c>
      <c r="F14" s="100">
        <v>843.5</v>
      </c>
      <c r="G14" s="383">
        <f t="shared" ref="G14:G23" si="1">SUM(E14:F14)</f>
        <v>2976.5</v>
      </c>
      <c r="H14" s="103">
        <f t="shared" ref="H14:H23" si="2">+E14-B14</f>
        <v>27.5</v>
      </c>
      <c r="I14" s="100">
        <f t="shared" ref="I14:I23" si="3">+F14-C14</f>
        <v>-50</v>
      </c>
      <c r="J14" s="383">
        <f t="shared" ref="J14:J23" si="4">SUM(H14:I14)</f>
        <v>-22.5</v>
      </c>
      <c r="K14" s="347">
        <v>6232100</v>
      </c>
      <c r="L14" s="347">
        <f t="shared" ref="L14:L19" si="5">J14*2500</f>
        <v>-56250</v>
      </c>
      <c r="M14" s="423">
        <f t="shared" ref="M14:M23" si="6">K14+L14</f>
        <v>6175850</v>
      </c>
      <c r="N14" s="345"/>
      <c r="O14" s="420"/>
      <c r="P14" s="420"/>
      <c r="U14" s="24"/>
      <c r="V14" s="24"/>
    </row>
    <row r="15" spans="1:27" s="23" customFormat="1" ht="15" customHeight="1">
      <c r="A15" s="34" t="s">
        <v>13</v>
      </c>
      <c r="B15" s="103">
        <v>585.5</v>
      </c>
      <c r="C15" s="100">
        <v>24</v>
      </c>
      <c r="D15" s="383">
        <f t="shared" si="0"/>
        <v>609.5</v>
      </c>
      <c r="E15" s="103">
        <v>588</v>
      </c>
      <c r="F15" s="100">
        <v>33.5</v>
      </c>
      <c r="G15" s="383">
        <f t="shared" si="1"/>
        <v>621.5</v>
      </c>
      <c r="H15" s="103">
        <f t="shared" si="2"/>
        <v>2.5</v>
      </c>
      <c r="I15" s="100">
        <f t="shared" si="3"/>
        <v>9.5</v>
      </c>
      <c r="J15" s="383">
        <f t="shared" si="4"/>
        <v>12</v>
      </c>
      <c r="K15" s="347">
        <v>946950</v>
      </c>
      <c r="L15" s="347">
        <f t="shared" si="5"/>
        <v>30000</v>
      </c>
      <c r="M15" s="423">
        <f t="shared" si="6"/>
        <v>976950</v>
      </c>
      <c r="N15" s="345"/>
      <c r="O15" s="420"/>
      <c r="P15" s="420"/>
      <c r="U15" s="24"/>
      <c r="V15" s="24"/>
    </row>
    <row r="16" spans="1:27" s="23" customFormat="1" ht="15" customHeight="1">
      <c r="A16" s="34" t="s">
        <v>14</v>
      </c>
      <c r="B16" s="103">
        <v>4142</v>
      </c>
      <c r="C16" s="100">
        <v>3242.5</v>
      </c>
      <c r="D16" s="383">
        <f t="shared" si="0"/>
        <v>7384.5</v>
      </c>
      <c r="E16" s="103">
        <v>4201.3</v>
      </c>
      <c r="F16" s="100">
        <v>3183.5</v>
      </c>
      <c r="G16" s="383">
        <f>SUM(E16:F16)</f>
        <v>7384.8</v>
      </c>
      <c r="H16" s="103">
        <f t="shared" si="2"/>
        <v>59.300000000000182</v>
      </c>
      <c r="I16" s="100">
        <f t="shared" si="3"/>
        <v>-59</v>
      </c>
      <c r="J16" s="383">
        <f t="shared" si="4"/>
        <v>0.3000000000001819</v>
      </c>
      <c r="K16" s="347">
        <v>16586450</v>
      </c>
      <c r="L16" s="347">
        <f t="shared" si="5"/>
        <v>750.00000000045475</v>
      </c>
      <c r="M16" s="423">
        <f t="shared" si="6"/>
        <v>16587200</v>
      </c>
      <c r="N16" s="345"/>
      <c r="O16" s="420"/>
      <c r="P16" s="420"/>
      <c r="U16" s="24"/>
      <c r="V16" s="24"/>
    </row>
    <row r="17" spans="1:24" s="23" customFormat="1" ht="15" customHeight="1">
      <c r="A17" s="34" t="s">
        <v>15</v>
      </c>
      <c r="B17" s="103">
        <v>1169</v>
      </c>
      <c r="C17" s="100">
        <v>403.5</v>
      </c>
      <c r="D17" s="383">
        <f t="shared" si="0"/>
        <v>1572.5</v>
      </c>
      <c r="E17" s="103">
        <v>1234</v>
      </c>
      <c r="F17" s="100">
        <v>400</v>
      </c>
      <c r="G17" s="383">
        <f t="shared" si="1"/>
        <v>1634</v>
      </c>
      <c r="H17" s="103">
        <f t="shared" si="2"/>
        <v>65</v>
      </c>
      <c r="I17" s="100">
        <f t="shared" si="3"/>
        <v>-3.5</v>
      </c>
      <c r="J17" s="383">
        <f t="shared" si="4"/>
        <v>61.5</v>
      </c>
      <c r="K17" s="347">
        <v>3024250</v>
      </c>
      <c r="L17" s="347">
        <f t="shared" si="5"/>
        <v>153750</v>
      </c>
      <c r="M17" s="423">
        <f t="shared" si="6"/>
        <v>3178000</v>
      </c>
      <c r="N17" s="345"/>
      <c r="O17" s="420"/>
      <c r="P17" s="420"/>
      <c r="U17" s="24"/>
      <c r="V17" s="24"/>
    </row>
    <row r="18" spans="1:24" ht="15" customHeight="1">
      <c r="A18" s="34" t="s">
        <v>16</v>
      </c>
      <c r="B18" s="103">
        <v>879</v>
      </c>
      <c r="C18" s="100">
        <v>160.5</v>
      </c>
      <c r="D18" s="383">
        <f t="shared" si="0"/>
        <v>1039.5</v>
      </c>
      <c r="E18" s="103">
        <v>857.5</v>
      </c>
      <c r="F18" s="100">
        <v>148.5</v>
      </c>
      <c r="G18" s="383">
        <f t="shared" si="1"/>
        <v>1006</v>
      </c>
      <c r="H18" s="103">
        <f t="shared" si="2"/>
        <v>-21.5</v>
      </c>
      <c r="I18" s="100">
        <f t="shared" si="3"/>
        <v>-12</v>
      </c>
      <c r="J18" s="383">
        <f t="shared" si="4"/>
        <v>-33.5</v>
      </c>
      <c r="K18" s="347">
        <v>1806450</v>
      </c>
      <c r="L18" s="347">
        <f t="shared" si="5"/>
        <v>-83750</v>
      </c>
      <c r="M18" s="423">
        <f t="shared" si="6"/>
        <v>1722700</v>
      </c>
      <c r="N18" s="345"/>
      <c r="O18" s="420"/>
      <c r="P18" s="420"/>
      <c r="Q18" s="20"/>
      <c r="R18" s="20"/>
      <c r="S18" s="20"/>
      <c r="T18" s="20"/>
      <c r="U18" s="19"/>
      <c r="V18" s="19"/>
    </row>
    <row r="19" spans="1:24" ht="15" customHeight="1">
      <c r="A19" s="34" t="s">
        <v>18</v>
      </c>
      <c r="B19" s="103">
        <v>10812.5</v>
      </c>
      <c r="C19" s="100">
        <v>3418</v>
      </c>
      <c r="D19" s="383">
        <f t="shared" si="0"/>
        <v>14230.5</v>
      </c>
      <c r="E19" s="103">
        <v>10711.25</v>
      </c>
      <c r="F19" s="100">
        <v>3463.5</v>
      </c>
      <c r="G19" s="383">
        <f t="shared" si="1"/>
        <v>14174.75</v>
      </c>
      <c r="H19" s="103">
        <f t="shared" si="2"/>
        <v>-101.25</v>
      </c>
      <c r="I19" s="100">
        <f t="shared" si="3"/>
        <v>45.5</v>
      </c>
      <c r="J19" s="383">
        <f>SUM(H19:I19)</f>
        <v>-55.75</v>
      </c>
      <c r="K19" s="347">
        <v>27047450</v>
      </c>
      <c r="L19" s="347">
        <f t="shared" si="5"/>
        <v>-139375</v>
      </c>
      <c r="M19" s="423">
        <f t="shared" si="6"/>
        <v>26908075</v>
      </c>
      <c r="N19" s="345"/>
      <c r="O19" s="420"/>
      <c r="P19" s="420"/>
      <c r="Q19" s="20"/>
      <c r="R19" s="20"/>
      <c r="S19" s="20"/>
      <c r="T19" s="20"/>
      <c r="U19" s="19"/>
      <c r="V19" s="19"/>
      <c r="W19" s="19"/>
      <c r="X19" s="19"/>
    </row>
    <row r="20" spans="1:24" ht="15" customHeight="1">
      <c r="A20" s="34" t="s">
        <v>19</v>
      </c>
      <c r="B20" s="103">
        <v>0</v>
      </c>
      <c r="C20" s="100">
        <v>0</v>
      </c>
      <c r="D20" s="383">
        <f t="shared" si="0"/>
        <v>0</v>
      </c>
      <c r="E20" s="103">
        <v>0</v>
      </c>
      <c r="F20" s="100">
        <v>0</v>
      </c>
      <c r="G20" s="383">
        <f t="shared" si="1"/>
        <v>0</v>
      </c>
      <c r="H20" s="103">
        <f t="shared" si="2"/>
        <v>0</v>
      </c>
      <c r="I20" s="100">
        <f t="shared" si="3"/>
        <v>0</v>
      </c>
      <c r="J20" s="383">
        <f t="shared" si="4"/>
        <v>0</v>
      </c>
      <c r="K20" s="347">
        <v>0</v>
      </c>
      <c r="L20" s="347">
        <f>J20*2500</f>
        <v>0</v>
      </c>
      <c r="M20" s="423">
        <f t="shared" si="6"/>
        <v>0</v>
      </c>
      <c r="N20" s="345"/>
      <c r="O20" s="420"/>
      <c r="P20" s="420"/>
      <c r="Q20" s="20"/>
      <c r="R20" s="20"/>
      <c r="S20" s="20"/>
      <c r="T20" s="20"/>
      <c r="U20" s="19"/>
      <c r="V20" s="19"/>
      <c r="W20" s="19"/>
      <c r="X20" s="19"/>
    </row>
    <row r="21" spans="1:24" ht="15" customHeight="1">
      <c r="A21" s="34" t="s">
        <v>20</v>
      </c>
      <c r="B21" s="103">
        <v>1815</v>
      </c>
      <c r="C21" s="100">
        <v>143.5</v>
      </c>
      <c r="D21" s="383">
        <f t="shared" si="0"/>
        <v>1958.5</v>
      </c>
      <c r="E21" s="103">
        <v>1843.5</v>
      </c>
      <c r="F21" s="100">
        <v>162.5</v>
      </c>
      <c r="G21" s="383">
        <f t="shared" si="1"/>
        <v>2006</v>
      </c>
      <c r="H21" s="103">
        <f t="shared" si="2"/>
        <v>28.5</v>
      </c>
      <c r="I21" s="100">
        <f t="shared" si="3"/>
        <v>19</v>
      </c>
      <c r="J21" s="383">
        <f>SUM(H21:I21)</f>
        <v>47.5</v>
      </c>
      <c r="K21" s="347">
        <v>3409050</v>
      </c>
      <c r="L21" s="347">
        <f>J21*2500</f>
        <v>118750</v>
      </c>
      <c r="M21" s="423">
        <f t="shared" si="6"/>
        <v>3527800</v>
      </c>
      <c r="N21" s="345"/>
      <c r="O21" s="420"/>
      <c r="P21" s="420"/>
      <c r="Q21" s="20"/>
      <c r="R21" s="20"/>
      <c r="S21" s="20"/>
      <c r="T21" s="20"/>
      <c r="U21" s="19"/>
      <c r="V21" s="19"/>
      <c r="W21" s="19"/>
      <c r="X21" s="19"/>
    </row>
    <row r="22" spans="1:24" ht="15" customHeight="1">
      <c r="A22" s="34" t="s">
        <v>23</v>
      </c>
      <c r="B22" s="103">
        <v>0</v>
      </c>
      <c r="C22" s="100">
        <v>0</v>
      </c>
      <c r="D22" s="383">
        <f t="shared" si="0"/>
        <v>0</v>
      </c>
      <c r="E22" s="103">
        <v>0</v>
      </c>
      <c r="F22" s="100">
        <v>0</v>
      </c>
      <c r="G22" s="383">
        <f t="shared" si="1"/>
        <v>0</v>
      </c>
      <c r="H22" s="103">
        <f t="shared" si="2"/>
        <v>0</v>
      </c>
      <c r="I22" s="100">
        <f t="shared" si="3"/>
        <v>0</v>
      </c>
      <c r="J22" s="383">
        <f t="shared" si="4"/>
        <v>0</v>
      </c>
      <c r="K22" s="347">
        <v>-61099.999999999993</v>
      </c>
      <c r="L22" s="347">
        <f>J22*2500</f>
        <v>0</v>
      </c>
      <c r="M22" s="423">
        <f t="shared" si="6"/>
        <v>-61099.999999999993</v>
      </c>
      <c r="N22" s="345"/>
      <c r="O22" s="420"/>
      <c r="P22" s="420"/>
      <c r="Q22" s="20"/>
      <c r="R22" s="20"/>
      <c r="S22" s="20"/>
      <c r="T22" s="20"/>
      <c r="U22" s="19"/>
      <c r="V22" s="19"/>
      <c r="W22" s="19"/>
      <c r="X22" s="19"/>
    </row>
    <row r="23" spans="1:24" ht="15" customHeight="1">
      <c r="A23" s="35" t="s">
        <v>25</v>
      </c>
      <c r="B23" s="104">
        <v>252</v>
      </c>
      <c r="C23" s="211">
        <v>16.5</v>
      </c>
      <c r="D23" s="383">
        <f t="shared" si="0"/>
        <v>268.5</v>
      </c>
      <c r="E23" s="104">
        <v>251</v>
      </c>
      <c r="F23" s="211">
        <v>14.5</v>
      </c>
      <c r="G23" s="383">
        <f t="shared" si="1"/>
        <v>265.5</v>
      </c>
      <c r="H23" s="104">
        <f t="shared" si="2"/>
        <v>-1</v>
      </c>
      <c r="I23" s="211">
        <f t="shared" si="3"/>
        <v>-2</v>
      </c>
      <c r="J23" s="383">
        <f t="shared" si="4"/>
        <v>-3</v>
      </c>
      <c r="K23" s="347">
        <v>671250</v>
      </c>
      <c r="L23" s="347">
        <f>J23*2500</f>
        <v>-7500</v>
      </c>
      <c r="M23" s="423">
        <f t="shared" si="6"/>
        <v>663750</v>
      </c>
      <c r="N23" s="345"/>
      <c r="O23" s="420"/>
      <c r="P23" s="420"/>
      <c r="Q23" s="20"/>
      <c r="R23" s="20"/>
      <c r="S23" s="20"/>
      <c r="T23" s="20"/>
      <c r="U23" s="19"/>
      <c r="V23" s="19"/>
      <c r="W23" s="19"/>
      <c r="X23" s="19"/>
    </row>
    <row r="24" spans="1:24" ht="12">
      <c r="A24" s="333" t="s">
        <v>8</v>
      </c>
      <c r="B24" s="384">
        <f>SUM(B13:B23)</f>
        <v>23944.5</v>
      </c>
      <c r="C24" s="288">
        <f>SUM(C13:C23)</f>
        <v>8675</v>
      </c>
      <c r="D24" s="288">
        <f>SUM(D13:D23)</f>
        <v>32619.5</v>
      </c>
      <c r="E24" s="384">
        <f t="shared" ref="E24:K24" si="7">SUM(E13:E23)</f>
        <v>23984.05</v>
      </c>
      <c r="F24" s="288">
        <f t="shared" si="7"/>
        <v>8626.5</v>
      </c>
      <c r="G24" s="288">
        <f t="shared" si="7"/>
        <v>32610.55</v>
      </c>
      <c r="H24" s="287">
        <f t="shared" si="7"/>
        <v>39.550000000000182</v>
      </c>
      <c r="I24" s="385">
        <f>SUM(I13:I23)</f>
        <v>-48.5</v>
      </c>
      <c r="J24" s="386">
        <f t="shared" si="7"/>
        <v>-8.9499999999998181</v>
      </c>
      <c r="K24" s="380">
        <f t="shared" si="7"/>
        <v>64242850</v>
      </c>
      <c r="L24" s="380">
        <f>SUM(L13:L23)</f>
        <v>-22374.999999999534</v>
      </c>
      <c r="M24" s="380">
        <f>SUM(M13:M23)</f>
        <v>64220475</v>
      </c>
      <c r="N24" s="344"/>
      <c r="O24" s="22"/>
      <c r="P24" s="22"/>
      <c r="Q24" s="20"/>
      <c r="R24" s="20"/>
      <c r="S24" s="20"/>
      <c r="T24" s="20"/>
      <c r="U24" s="19"/>
      <c r="V24" s="19"/>
      <c r="W24" s="19"/>
      <c r="X24" s="19"/>
    </row>
    <row r="26" spans="1:24">
      <c r="G26" s="344"/>
    </row>
    <row r="27" spans="1:24">
      <c r="A27" s="329" t="s">
        <v>170</v>
      </c>
      <c r="B27" s="330">
        <v>2500</v>
      </c>
      <c r="G27" s="344"/>
    </row>
    <row r="28" spans="1:24">
      <c r="A28" s="329" t="s">
        <v>171</v>
      </c>
      <c r="B28" s="330">
        <v>2500</v>
      </c>
    </row>
    <row r="29" spans="1:24">
      <c r="B29" s="22"/>
    </row>
    <row r="32" spans="1:24" ht="12">
      <c r="A32" s="10" t="s">
        <v>188</v>
      </c>
      <c r="B32" s="11" t="s">
        <v>189</v>
      </c>
      <c r="C32" s="11" t="s">
        <v>192</v>
      </c>
      <c r="D32" s="11" t="s">
        <v>5</v>
      </c>
    </row>
    <row r="33" spans="1:20" ht="12">
      <c r="A33" s="12" t="s">
        <v>178</v>
      </c>
      <c r="B33" s="362">
        <v>2500</v>
      </c>
      <c r="C33" s="291">
        <v>0</v>
      </c>
      <c r="D33" s="2">
        <v>58784100</v>
      </c>
    </row>
    <row r="34" spans="1:20" ht="12">
      <c r="A34" s="2" t="s">
        <v>190</v>
      </c>
      <c r="B34" s="362">
        <v>2500</v>
      </c>
      <c r="C34" s="291">
        <v>108</v>
      </c>
      <c r="D34" s="2">
        <v>270000</v>
      </c>
      <c r="E34" s="22"/>
    </row>
    <row r="35" spans="1:20" ht="12">
      <c r="A35" s="2" t="s">
        <v>191</v>
      </c>
      <c r="B35" s="362">
        <v>2500</v>
      </c>
      <c r="C35" s="291">
        <v>648</v>
      </c>
      <c r="D35" s="2">
        <v>1620000</v>
      </c>
    </row>
    <row r="36" spans="1:20" s="382" customFormat="1" ht="12">
      <c r="A36" s="77" t="s">
        <v>203</v>
      </c>
      <c r="B36" s="381">
        <v>2500</v>
      </c>
      <c r="C36" s="469">
        <v>-12</v>
      </c>
      <c r="D36" s="2">
        <v>-30000</v>
      </c>
      <c r="Q36" s="19"/>
      <c r="R36" s="19"/>
      <c r="S36" s="19"/>
      <c r="T36" s="19"/>
    </row>
    <row r="37" spans="1:20" s="382" customFormat="1" ht="12">
      <c r="A37" s="77" t="s">
        <v>209</v>
      </c>
      <c r="B37" s="381">
        <v>2500</v>
      </c>
      <c r="C37" s="469">
        <v>423</v>
      </c>
      <c r="D37" s="2">
        <v>1057500</v>
      </c>
      <c r="Q37" s="19"/>
      <c r="R37" s="19"/>
      <c r="S37" s="19"/>
      <c r="T37" s="19"/>
    </row>
    <row r="38" spans="1:20" s="382" customFormat="1" ht="12">
      <c r="A38" s="77" t="s">
        <v>214</v>
      </c>
      <c r="B38" s="381">
        <v>2500</v>
      </c>
      <c r="C38" s="469">
        <v>161.5</v>
      </c>
      <c r="D38" s="2">
        <v>403750</v>
      </c>
      <c r="Q38" s="19"/>
      <c r="R38" s="19"/>
      <c r="S38" s="19"/>
      <c r="T38" s="19"/>
    </row>
    <row r="39" spans="1:20" s="382" customFormat="1" ht="12">
      <c r="A39" s="77" t="s">
        <v>234</v>
      </c>
      <c r="B39" s="381">
        <v>2500</v>
      </c>
      <c r="C39" s="469">
        <f>J23</f>
        <v>-3</v>
      </c>
      <c r="D39" s="2">
        <v>810000</v>
      </c>
      <c r="Q39" s="19"/>
      <c r="R39" s="19"/>
      <c r="S39" s="19"/>
      <c r="T39" s="19"/>
    </row>
    <row r="40" spans="1:20" s="382" customFormat="1" ht="12">
      <c r="A40" s="77" t="s">
        <v>235</v>
      </c>
      <c r="B40" s="381">
        <v>2500</v>
      </c>
      <c r="C40" s="469">
        <v>531</v>
      </c>
      <c r="D40" s="2">
        <v>1327500</v>
      </c>
      <c r="Q40" s="19"/>
      <c r="R40" s="19"/>
      <c r="S40" s="19"/>
      <c r="T40" s="19"/>
    </row>
    <row r="41" spans="1:20" s="382" customFormat="1" ht="12">
      <c r="A41" s="77" t="s">
        <v>320</v>
      </c>
      <c r="B41" s="381">
        <v>2500</v>
      </c>
      <c r="C41" s="469">
        <f>+J24</f>
        <v>-8.9499999999998181</v>
      </c>
      <c r="D41" s="2">
        <f>(B41*C41)</f>
        <v>-22374.999999999545</v>
      </c>
      <c r="Q41" s="19"/>
      <c r="R41" s="19"/>
      <c r="S41" s="19"/>
      <c r="T41" s="19"/>
    </row>
    <row r="42" spans="1:20" ht="12.75" thickBot="1">
      <c r="A42" s="2"/>
      <c r="B42" s="2"/>
      <c r="C42" s="410" t="s">
        <v>319</v>
      </c>
      <c r="D42" s="348">
        <f>SUM(D33:D41)</f>
        <v>64220475</v>
      </c>
    </row>
    <row r="43" spans="1:20" ht="12" thickTop="1"/>
  </sheetData>
  <mergeCells count="6">
    <mergeCell ref="E10:G10"/>
    <mergeCell ref="H10:J10"/>
    <mergeCell ref="A1:J1"/>
    <mergeCell ref="A2:J2"/>
    <mergeCell ref="A3:J3"/>
    <mergeCell ref="B10:D10"/>
  </mergeCells>
  <printOptions horizontalCentered="1"/>
  <pageMargins left="0.75" right="0.75" top="1" bottom="1" header="0.5" footer="0.5"/>
  <pageSetup scale="74" fitToHeight="0" orientation="landscape" r:id="rId1"/>
  <headerFooter alignWithMargins="0">
    <oddFooter>&amp;L&amp;9&amp;D
&amp;F
&amp;A</oddFooter>
  </headerFooter>
  <colBreaks count="1" manualBreakCount="1">
    <brk id="13" max="29"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44"/>
  <sheetViews>
    <sheetView zoomScaleNormal="100" workbookViewId="0">
      <selection sqref="A1:I1"/>
    </sheetView>
  </sheetViews>
  <sheetFormatPr defaultColWidth="8.85546875" defaultRowHeight="12"/>
  <cols>
    <col min="1" max="1" width="41.7109375" style="2" bestFit="1" customWidth="1"/>
    <col min="2" max="2" width="11.28515625" style="2" customWidth="1"/>
    <col min="3" max="3" width="12.28515625" style="2" bestFit="1" customWidth="1"/>
    <col min="4" max="4" width="12" style="2" bestFit="1" customWidth="1"/>
    <col min="5" max="10" width="11.28515625" style="2" customWidth="1"/>
    <col min="11" max="11" width="1.5703125" style="2" customWidth="1"/>
    <col min="12" max="13" width="11.28515625" style="2" customWidth="1"/>
    <col min="14" max="14" width="10.140625" style="2" customWidth="1"/>
    <col min="15" max="15" width="10.85546875" style="2" customWidth="1"/>
    <col min="16" max="16" width="27" style="2" bestFit="1" customWidth="1"/>
    <col min="17" max="19" width="10.85546875" style="2" customWidth="1"/>
    <col min="20" max="16384" width="8.85546875" style="2"/>
  </cols>
  <sheetData>
    <row r="1" spans="1:19" s="13" customFormat="1" ht="15.75">
      <c r="A1" s="610" t="s">
        <v>321</v>
      </c>
      <c r="B1" s="610"/>
      <c r="C1" s="610"/>
      <c r="D1" s="610"/>
      <c r="E1" s="610"/>
      <c r="F1" s="610"/>
      <c r="G1" s="610"/>
      <c r="H1" s="610"/>
      <c r="I1" s="610"/>
      <c r="J1" s="75"/>
      <c r="K1" s="75"/>
      <c r="L1" s="75"/>
      <c r="M1" s="75"/>
      <c r="N1" s="75"/>
      <c r="O1" s="75"/>
      <c r="P1" s="75"/>
      <c r="Q1" s="75"/>
      <c r="R1" s="75"/>
      <c r="S1" s="75"/>
    </row>
    <row r="2" spans="1:19" s="13" customFormat="1" ht="15.75">
      <c r="A2" s="610" t="s">
        <v>197</v>
      </c>
      <c r="B2" s="610"/>
      <c r="C2" s="610"/>
      <c r="D2" s="610"/>
      <c r="E2" s="610"/>
      <c r="F2" s="610"/>
      <c r="G2" s="610"/>
      <c r="H2" s="610"/>
      <c r="I2" s="610"/>
      <c r="J2" s="75"/>
      <c r="K2" s="75"/>
      <c r="L2" s="75"/>
      <c r="M2" s="75"/>
      <c r="N2" s="75"/>
      <c r="O2" s="75"/>
      <c r="P2" s="75"/>
      <c r="Q2" s="75"/>
      <c r="R2" s="75"/>
      <c r="S2" s="75"/>
    </row>
    <row r="3" spans="1:19" s="13" customFormat="1" ht="15.75">
      <c r="A3" s="610" t="s">
        <v>322</v>
      </c>
      <c r="B3" s="610"/>
      <c r="C3" s="610"/>
      <c r="D3" s="610"/>
      <c r="E3" s="610"/>
      <c r="F3" s="610"/>
      <c r="G3" s="610"/>
      <c r="H3" s="610"/>
      <c r="I3" s="610"/>
      <c r="J3" s="75"/>
      <c r="K3" s="75"/>
      <c r="L3" s="75"/>
      <c r="M3" s="75"/>
      <c r="N3" s="75"/>
      <c r="O3" s="75"/>
      <c r="P3" s="75"/>
      <c r="Q3" s="75"/>
      <c r="R3" s="75"/>
      <c r="S3" s="75"/>
    </row>
    <row r="4" spans="1:19" ht="15.75">
      <c r="A4" s="474"/>
      <c r="B4" s="475"/>
      <c r="C4" s="475"/>
      <c r="D4" s="475"/>
      <c r="E4" s="475"/>
      <c r="F4" s="475"/>
      <c r="G4" s="475"/>
      <c r="H4" s="475"/>
      <c r="I4" s="475"/>
      <c r="J4" s="475"/>
      <c r="K4" s="475"/>
      <c r="L4" s="475"/>
      <c r="M4" s="475"/>
      <c r="N4" s="475"/>
      <c r="O4" s="475"/>
      <c r="P4" s="475"/>
      <c r="Q4" s="475"/>
      <c r="R4" s="475"/>
      <c r="S4" s="475"/>
    </row>
    <row r="5" spans="1:19" ht="15">
      <c r="A5" s="1" t="s">
        <v>280</v>
      </c>
      <c r="B5" s="473"/>
      <c r="C5" s="473"/>
      <c r="D5" s="473"/>
      <c r="E5" s="473"/>
      <c r="F5" s="473"/>
      <c r="G5" s="473"/>
      <c r="H5" s="473"/>
      <c r="I5" s="473"/>
      <c r="J5" s="473"/>
      <c r="K5" s="473"/>
      <c r="L5" s="473"/>
      <c r="M5" s="473"/>
      <c r="N5" s="473"/>
      <c r="O5" s="473"/>
      <c r="P5" s="473"/>
      <c r="Q5" s="473"/>
      <c r="R5" s="473"/>
      <c r="S5" s="473"/>
    </row>
    <row r="6" spans="1:19" ht="15">
      <c r="A6" s="472"/>
      <c r="B6" s="473"/>
      <c r="C6" s="473"/>
      <c r="D6" s="473"/>
      <c r="E6" s="473"/>
      <c r="F6" s="473"/>
      <c r="G6" s="473"/>
      <c r="H6" s="473"/>
      <c r="I6" s="473"/>
      <c r="J6" s="473"/>
      <c r="K6" s="473"/>
      <c r="L6" s="473"/>
      <c r="M6" s="473"/>
      <c r="N6" s="473"/>
      <c r="O6" s="473"/>
      <c r="P6" s="473"/>
      <c r="Q6" s="473"/>
      <c r="R6" s="473"/>
      <c r="S6" s="473"/>
    </row>
    <row r="7" spans="1:19" ht="19.5" customHeight="1">
      <c r="A7" s="476" t="s">
        <v>323</v>
      </c>
      <c r="B7" s="593">
        <f>+'Undergrad Income'!C17</f>
        <v>13868607.300000001</v>
      </c>
      <c r="C7" s="538"/>
      <c r="D7" s="538"/>
      <c r="E7" s="538"/>
      <c r="F7" s="538"/>
      <c r="G7" s="538"/>
      <c r="H7" s="538"/>
      <c r="I7" s="539"/>
      <c r="J7" s="539"/>
      <c r="K7" s="473"/>
      <c r="L7" s="473"/>
      <c r="M7" s="473"/>
      <c r="N7" s="473"/>
      <c r="O7" s="473"/>
      <c r="P7" s="473"/>
      <c r="Q7" s="473"/>
      <c r="R7" s="473"/>
      <c r="S7" s="473"/>
    </row>
    <row r="8" spans="1:19" s="1" customFormat="1" ht="52.5" customHeight="1">
      <c r="A8" s="43" t="s">
        <v>29</v>
      </c>
      <c r="B8" s="477" t="s">
        <v>126</v>
      </c>
      <c r="C8" s="40" t="s">
        <v>126</v>
      </c>
      <c r="D8" s="39" t="s">
        <v>324</v>
      </c>
      <c r="E8" s="40" t="s">
        <v>325</v>
      </c>
      <c r="F8" s="477" t="s">
        <v>326</v>
      </c>
      <c r="G8" s="41" t="s">
        <v>327</v>
      </c>
      <c r="H8" s="477" t="s">
        <v>328</v>
      </c>
      <c r="I8" s="540"/>
      <c r="J8" s="540"/>
    </row>
    <row r="9" spans="1:19" ht="15" customHeight="1">
      <c r="A9" s="32" t="s">
        <v>11</v>
      </c>
      <c r="B9" s="478">
        <v>1041</v>
      </c>
      <c r="C9" s="479">
        <f>B9/$B$26</f>
        <v>3.3784441631778794E-2</v>
      </c>
      <c r="D9" s="424">
        <f>C9*$B$7</f>
        <v>468543.15384091134</v>
      </c>
      <c r="E9" s="412">
        <v>55804</v>
      </c>
      <c r="F9" s="425">
        <f>+D9+E9</f>
        <v>524347.15384091134</v>
      </c>
      <c r="G9" s="425">
        <v>518435.88046509295</v>
      </c>
      <c r="H9" s="425">
        <f>+F9-G9</f>
        <v>5911.2733758183895</v>
      </c>
      <c r="I9" s="473"/>
      <c r="K9" s="473"/>
      <c r="L9" s="473"/>
      <c r="M9" s="473"/>
      <c r="N9" s="20"/>
      <c r="O9" s="20"/>
      <c r="P9" s="473"/>
      <c r="Q9" s="473"/>
      <c r="R9" s="473"/>
      <c r="S9" s="473"/>
    </row>
    <row r="10" spans="1:19" ht="15" customHeight="1">
      <c r="A10" s="34" t="s">
        <v>379</v>
      </c>
      <c r="B10" s="478">
        <v>3227</v>
      </c>
      <c r="C10" s="479">
        <f t="shared" ref="C10:C25" si="0">B10/$B$26</f>
        <v>0.10472852367507221</v>
      </c>
      <c r="D10" s="424">
        <f t="shared" ref="D10:D25" si="1">C10*$B$7</f>
        <v>1452438.7679583293</v>
      </c>
      <c r="E10" s="412">
        <v>331008</v>
      </c>
      <c r="F10" s="425">
        <f t="shared" ref="F10:F25" si="2">+D10+E10</f>
        <v>1783446.7679583293</v>
      </c>
      <c r="G10" s="425">
        <v>1765128.6714066099</v>
      </c>
      <c r="H10" s="425">
        <f t="shared" ref="H10:H25" si="3">+F10-G10</f>
        <v>18318.096551719354</v>
      </c>
      <c r="I10" s="473"/>
      <c r="K10" s="473"/>
      <c r="L10" s="473"/>
      <c r="M10" s="473"/>
      <c r="N10" s="480"/>
      <c r="O10" s="481"/>
      <c r="P10" s="473"/>
      <c r="Q10" s="473"/>
      <c r="R10" s="473"/>
      <c r="S10" s="473"/>
    </row>
    <row r="11" spans="1:19" ht="15" customHeight="1">
      <c r="A11" s="34" t="s">
        <v>13</v>
      </c>
      <c r="B11" s="478">
        <v>248</v>
      </c>
      <c r="C11" s="479">
        <f t="shared" si="0"/>
        <v>8.0485509362931227E-3</v>
      </c>
      <c r="D11" s="424">
        <f t="shared" si="1"/>
        <v>111622.19226949665</v>
      </c>
      <c r="E11" s="412">
        <v>0</v>
      </c>
      <c r="F11" s="425">
        <f t="shared" si="2"/>
        <v>111622.19226949665</v>
      </c>
      <c r="G11" s="425">
        <v>110214</v>
      </c>
      <c r="H11" s="425">
        <f t="shared" si="3"/>
        <v>1408.1922694966488</v>
      </c>
      <c r="I11" s="473"/>
      <c r="K11" s="473"/>
      <c r="L11" s="473"/>
      <c r="M11" s="473"/>
      <c r="N11" s="480"/>
      <c r="O11" s="480"/>
      <c r="P11" s="480"/>
      <c r="Q11" s="473"/>
      <c r="R11" s="473"/>
      <c r="S11" s="473"/>
    </row>
    <row r="12" spans="1:19" ht="15" customHeight="1">
      <c r="A12" s="34" t="s">
        <v>14</v>
      </c>
      <c r="B12" s="478">
        <v>4751</v>
      </c>
      <c r="C12" s="479">
        <f t="shared" si="0"/>
        <v>0.15418816733197027</v>
      </c>
      <c r="D12" s="424">
        <f t="shared" si="1"/>
        <v>2138375.1430337843</v>
      </c>
      <c r="E12" s="412">
        <v>546135</v>
      </c>
      <c r="F12" s="425">
        <f t="shared" si="2"/>
        <v>2684510.1430337843</v>
      </c>
      <c r="G12" s="425">
        <v>2657531.8424261711</v>
      </c>
      <c r="H12" s="425">
        <f t="shared" si="3"/>
        <v>26978.300607613288</v>
      </c>
      <c r="I12" s="473"/>
      <c r="K12" s="473"/>
      <c r="L12" s="473"/>
      <c r="M12" s="473"/>
      <c r="N12" s="480"/>
      <c r="O12" s="482"/>
      <c r="P12" s="473"/>
      <c r="Q12" s="473"/>
      <c r="R12" s="473"/>
      <c r="S12" s="473"/>
    </row>
    <row r="13" spans="1:19" ht="15" customHeight="1">
      <c r="A13" s="34" t="s">
        <v>15</v>
      </c>
      <c r="B13" s="478">
        <v>1747</v>
      </c>
      <c r="C13" s="479">
        <f t="shared" si="0"/>
        <v>5.6696848732677767E-2</v>
      </c>
      <c r="D13" s="424">
        <f t="shared" si="1"/>
        <v>786306.33022101072</v>
      </c>
      <c r="E13" s="412">
        <v>17168</v>
      </c>
      <c r="F13" s="425">
        <f t="shared" si="2"/>
        <v>803474.33022101072</v>
      </c>
      <c r="G13" s="425">
        <v>793554.02313075226</v>
      </c>
      <c r="H13" s="425">
        <f t="shared" si="3"/>
        <v>9920.3070902584586</v>
      </c>
      <c r="I13" s="473"/>
      <c r="K13" s="473"/>
      <c r="L13" s="473"/>
      <c r="M13" s="473"/>
      <c r="N13" s="480"/>
      <c r="O13" s="482"/>
      <c r="P13" s="473"/>
      <c r="Q13" s="473"/>
      <c r="R13" s="473"/>
      <c r="S13" s="473"/>
    </row>
    <row r="14" spans="1:19" ht="15" customHeight="1">
      <c r="A14" s="34" t="s">
        <v>16</v>
      </c>
      <c r="B14" s="478">
        <v>509</v>
      </c>
      <c r="C14" s="479">
        <f t="shared" si="0"/>
        <v>1.6519001720053224E-2</v>
      </c>
      <c r="D14" s="424">
        <f t="shared" si="1"/>
        <v>229095.54784344271</v>
      </c>
      <c r="E14" s="412">
        <v>6337</v>
      </c>
      <c r="F14" s="425">
        <f t="shared" si="2"/>
        <v>235432.54784344271</v>
      </c>
      <c r="G14" s="425">
        <v>232514.91012329387</v>
      </c>
      <c r="H14" s="425">
        <f t="shared" si="3"/>
        <v>2917.6377201488358</v>
      </c>
      <c r="I14" s="473"/>
      <c r="K14" s="473"/>
      <c r="L14" s="473"/>
      <c r="M14" s="473"/>
      <c r="N14" s="480"/>
      <c r="O14" s="482"/>
      <c r="P14" s="473"/>
      <c r="Q14" s="473"/>
      <c r="R14" s="473"/>
      <c r="S14" s="473"/>
    </row>
    <row r="15" spans="1:19" ht="15" customHeight="1">
      <c r="A15" s="34" t="s">
        <v>17</v>
      </c>
      <c r="B15" s="478">
        <v>9</v>
      </c>
      <c r="C15" s="479">
        <f t="shared" si="0"/>
        <v>2.9208450978483107E-4</v>
      </c>
      <c r="D15" s="424">
        <f t="shared" si="1"/>
        <v>4050.8053646188296</v>
      </c>
      <c r="E15" s="412">
        <v>0</v>
      </c>
      <c r="F15" s="425">
        <f t="shared" si="2"/>
        <v>4050.8053646188296</v>
      </c>
      <c r="G15" s="425">
        <v>4000</v>
      </c>
      <c r="H15" s="425">
        <f t="shared" si="3"/>
        <v>50.805364618829572</v>
      </c>
      <c r="I15" s="473"/>
      <c r="K15" s="473"/>
      <c r="L15" s="473"/>
      <c r="M15" s="473"/>
      <c r="N15" s="480"/>
      <c r="O15" s="482"/>
      <c r="P15" s="473"/>
      <c r="Q15" s="473"/>
      <c r="R15" s="473"/>
      <c r="S15" s="473"/>
    </row>
    <row r="16" spans="1:19" ht="15" customHeight="1">
      <c r="A16" s="34" t="s">
        <v>18</v>
      </c>
      <c r="B16" s="478">
        <v>17073</v>
      </c>
      <c r="C16" s="479">
        <f t="shared" si="0"/>
        <v>0.55408431506182454</v>
      </c>
      <c r="D16" s="424">
        <f t="shared" si="1"/>
        <v>7684377.7766819205</v>
      </c>
      <c r="E16" s="412">
        <v>282292</v>
      </c>
      <c r="F16" s="425">
        <f t="shared" si="2"/>
        <v>7966669.7766819205</v>
      </c>
      <c r="G16" s="425">
        <v>7869591.4328109296</v>
      </c>
      <c r="H16" s="425">
        <f t="shared" si="3"/>
        <v>97078.34387099091</v>
      </c>
      <c r="I16" s="473"/>
      <c r="K16" s="473"/>
      <c r="L16" s="473"/>
      <c r="M16" s="473"/>
      <c r="N16" s="480"/>
      <c r="O16" s="482"/>
      <c r="P16" s="473"/>
      <c r="Q16" s="473"/>
      <c r="R16" s="473"/>
      <c r="S16" s="473"/>
    </row>
    <row r="17" spans="1:15" ht="15" customHeight="1">
      <c r="A17" s="34" t="s">
        <v>19</v>
      </c>
      <c r="B17" s="478">
        <v>18</v>
      </c>
      <c r="C17" s="479">
        <f t="shared" si="0"/>
        <v>5.8416901956966213E-4</v>
      </c>
      <c r="D17" s="424">
        <f>C17*$B$7</f>
        <v>8101.6107292376591</v>
      </c>
      <c r="E17" s="412">
        <v>0</v>
      </c>
      <c r="F17" s="425">
        <f t="shared" si="2"/>
        <v>8101.6107292376591</v>
      </c>
      <c r="G17" s="425">
        <v>7999</v>
      </c>
      <c r="H17" s="425">
        <f t="shared" si="3"/>
        <v>102.61072923765914</v>
      </c>
      <c r="I17" s="473" t="s">
        <v>244</v>
      </c>
      <c r="K17" s="473"/>
      <c r="L17" s="473"/>
      <c r="M17" s="473"/>
      <c r="N17" s="480"/>
      <c r="O17" s="482"/>
    </row>
    <row r="18" spans="1:15" ht="15" customHeight="1">
      <c r="A18" s="34" t="s">
        <v>20</v>
      </c>
      <c r="B18" s="478">
        <v>2072</v>
      </c>
      <c r="C18" s="479">
        <f t="shared" si="0"/>
        <v>6.7244344919352217E-2</v>
      </c>
      <c r="D18" s="424">
        <f t="shared" si="1"/>
        <v>932585.41283224616</v>
      </c>
      <c r="E18" s="412">
        <v>0</v>
      </c>
      <c r="F18" s="425">
        <f t="shared" si="2"/>
        <v>932585.41283224616</v>
      </c>
      <c r="G18" s="425">
        <v>920820</v>
      </c>
      <c r="H18" s="425">
        <f t="shared" si="3"/>
        <v>11765.412832246162</v>
      </c>
      <c r="I18" s="473"/>
      <c r="K18" s="473"/>
      <c r="L18" s="473"/>
      <c r="M18" s="473"/>
      <c r="N18" s="483"/>
      <c r="O18" s="484"/>
    </row>
    <row r="19" spans="1:15" ht="15" customHeight="1">
      <c r="A19" s="34" t="s">
        <v>21</v>
      </c>
      <c r="B19" s="478">
        <v>15</v>
      </c>
      <c r="C19" s="479">
        <f t="shared" si="0"/>
        <v>4.8680751630805178E-4</v>
      </c>
      <c r="D19" s="424">
        <f t="shared" si="1"/>
        <v>6751.3422743647161</v>
      </c>
      <c r="E19" s="412">
        <v>0</v>
      </c>
      <c r="F19" s="425">
        <f t="shared" si="2"/>
        <v>6751.3422743647161</v>
      </c>
      <c r="G19" s="425">
        <v>6666</v>
      </c>
      <c r="H19" s="425">
        <f t="shared" si="3"/>
        <v>85.342274364716104</v>
      </c>
      <c r="I19" s="473"/>
      <c r="K19" s="473"/>
      <c r="L19" s="473"/>
      <c r="M19" s="473"/>
      <c r="N19" s="77"/>
      <c r="O19" s="77"/>
    </row>
    <row r="20" spans="1:15" ht="15" customHeight="1">
      <c r="A20" s="34" t="s">
        <v>22</v>
      </c>
      <c r="B20" s="478">
        <v>0</v>
      </c>
      <c r="C20" s="479">
        <f t="shared" si="0"/>
        <v>0</v>
      </c>
      <c r="D20" s="424">
        <f t="shared" si="1"/>
        <v>0</v>
      </c>
      <c r="E20" s="412">
        <v>0</v>
      </c>
      <c r="F20" s="425">
        <f t="shared" si="2"/>
        <v>0</v>
      </c>
      <c r="G20" s="425">
        <v>0</v>
      </c>
      <c r="H20" s="425">
        <f t="shared" si="3"/>
        <v>0</v>
      </c>
      <c r="I20" s="473"/>
      <c r="K20" s="473"/>
      <c r="L20" s="473"/>
      <c r="M20" s="473"/>
      <c r="N20" s="473"/>
      <c r="O20" s="473"/>
    </row>
    <row r="21" spans="1:15" ht="15" customHeight="1">
      <c r="A21" s="34" t="s">
        <v>23</v>
      </c>
      <c r="B21" s="478">
        <v>0</v>
      </c>
      <c r="C21" s="479">
        <f>B21/$B$26</f>
        <v>0</v>
      </c>
      <c r="D21" s="424">
        <f t="shared" si="1"/>
        <v>0</v>
      </c>
      <c r="E21" s="412">
        <v>0</v>
      </c>
      <c r="F21" s="425">
        <f t="shared" si="2"/>
        <v>0</v>
      </c>
      <c r="G21" s="425">
        <v>0</v>
      </c>
      <c r="H21" s="425">
        <f t="shared" si="3"/>
        <v>0</v>
      </c>
      <c r="I21" s="473"/>
      <c r="K21" s="473"/>
      <c r="L21" s="473"/>
      <c r="M21" s="473"/>
      <c r="N21" s="473"/>
      <c r="O21" s="473"/>
    </row>
    <row r="22" spans="1:15" ht="15" customHeight="1">
      <c r="A22" s="34" t="s">
        <v>24</v>
      </c>
      <c r="B22" s="478">
        <v>28</v>
      </c>
      <c r="C22" s="479">
        <f t="shared" si="0"/>
        <v>9.0870736377502998E-4</v>
      </c>
      <c r="D22" s="424">
        <f t="shared" si="1"/>
        <v>12602.505578814136</v>
      </c>
      <c r="E22" s="412">
        <v>0</v>
      </c>
      <c r="F22" s="425">
        <f t="shared" si="2"/>
        <v>12602.505578814136</v>
      </c>
      <c r="G22" s="425">
        <v>12444</v>
      </c>
      <c r="H22" s="425">
        <f t="shared" si="3"/>
        <v>158.50557881413624</v>
      </c>
      <c r="I22" s="473"/>
      <c r="K22" s="473"/>
      <c r="L22" s="473"/>
      <c r="M22" s="473"/>
      <c r="N22" s="473"/>
      <c r="O22" s="473"/>
    </row>
    <row r="23" spans="1:15" ht="15" customHeight="1">
      <c r="A23" s="34" t="s">
        <v>25</v>
      </c>
      <c r="B23" s="478">
        <v>59</v>
      </c>
      <c r="C23" s="479">
        <f t="shared" si="0"/>
        <v>1.9147762308116703E-3</v>
      </c>
      <c r="D23" s="424">
        <f t="shared" si="1"/>
        <v>26555.279612501217</v>
      </c>
      <c r="E23" s="412">
        <v>0</v>
      </c>
      <c r="F23" s="425">
        <f t="shared" si="2"/>
        <v>26555.279612501217</v>
      </c>
      <c r="G23" s="425">
        <v>26220</v>
      </c>
      <c r="H23" s="425">
        <f t="shared" si="3"/>
        <v>335.27961250121734</v>
      </c>
      <c r="I23" s="473"/>
      <c r="K23" s="473"/>
      <c r="L23" s="473"/>
      <c r="M23" s="473"/>
      <c r="N23" s="473"/>
      <c r="O23" s="473"/>
    </row>
    <row r="24" spans="1:15" ht="15" customHeight="1">
      <c r="A24" s="34" t="s">
        <v>211</v>
      </c>
      <c r="B24" s="478">
        <v>0</v>
      </c>
      <c r="C24" s="479">
        <f t="shared" si="0"/>
        <v>0</v>
      </c>
      <c r="D24" s="424">
        <f>C24*$B$7</f>
        <v>0</v>
      </c>
      <c r="E24" s="412">
        <v>0</v>
      </c>
      <c r="F24" s="425">
        <f t="shared" si="2"/>
        <v>0</v>
      </c>
      <c r="G24" s="425">
        <v>0</v>
      </c>
      <c r="H24" s="425">
        <f t="shared" si="3"/>
        <v>0</v>
      </c>
      <c r="I24" s="473"/>
      <c r="K24" s="473"/>
      <c r="L24" s="473"/>
      <c r="M24" s="473"/>
      <c r="N24" s="473"/>
      <c r="O24" s="473"/>
    </row>
    <row r="25" spans="1:15" ht="15" customHeight="1">
      <c r="A25" s="35" t="s">
        <v>287</v>
      </c>
      <c r="B25" s="478">
        <v>16</v>
      </c>
      <c r="C25" s="479">
        <f t="shared" si="0"/>
        <v>5.1926135072858856E-4</v>
      </c>
      <c r="D25" s="424">
        <f t="shared" si="1"/>
        <v>7201.4317593223641</v>
      </c>
      <c r="E25" s="412">
        <v>0</v>
      </c>
      <c r="F25" s="425">
        <f t="shared" si="2"/>
        <v>7201.4317593223641</v>
      </c>
      <c r="G25" s="425">
        <v>7111</v>
      </c>
      <c r="H25" s="425">
        <f t="shared" si="3"/>
        <v>90.431759322364087</v>
      </c>
      <c r="I25" s="473"/>
      <c r="K25" s="473"/>
      <c r="L25" s="473"/>
      <c r="M25" s="473"/>
      <c r="N25" s="473"/>
      <c r="O25" s="473"/>
    </row>
    <row r="26" spans="1:15" ht="22.5" customHeight="1">
      <c r="A26" s="37"/>
      <c r="B26" s="380">
        <f>SUM(B9:B25)</f>
        <v>30813</v>
      </c>
      <c r="C26" s="485">
        <v>1.0000000000000002</v>
      </c>
      <c r="D26" s="426">
        <f>SUM(D9:D25)</f>
        <v>13868607.300000003</v>
      </c>
      <c r="E26" s="235">
        <f>SUM(E9:E25)</f>
        <v>1238744</v>
      </c>
      <c r="F26" s="380">
        <f>SUM(F9:F25)</f>
        <v>15107351.299999999</v>
      </c>
      <c r="G26" s="380">
        <f>SUM(G9:G25)</f>
        <v>14932230.760362849</v>
      </c>
      <c r="H26" s="380">
        <f>SUM(H9:H25)</f>
        <v>175120.53963715097</v>
      </c>
      <c r="I26" s="473"/>
      <c r="J26" s="473"/>
      <c r="K26" s="473"/>
      <c r="L26" s="473"/>
      <c r="M26" s="473"/>
      <c r="N26" s="473"/>
      <c r="O26" s="473"/>
    </row>
    <row r="27" spans="1:15" ht="15">
      <c r="A27" s="473"/>
      <c r="B27" s="473"/>
      <c r="C27" s="7"/>
      <c r="D27" s="520">
        <f>+D26-'Undergrad Income'!C17</f>
        <v>0</v>
      </c>
      <c r="E27" s="520"/>
      <c r="F27" s="520"/>
      <c r="G27" s="473"/>
      <c r="H27" s="473"/>
      <c r="I27" s="473"/>
      <c r="J27" s="473"/>
      <c r="K27" s="473"/>
      <c r="L27" s="473"/>
      <c r="M27" s="473"/>
      <c r="N27" s="473"/>
      <c r="O27" s="473"/>
    </row>
    <row r="28" spans="1:15" ht="15">
      <c r="A28" s="473"/>
      <c r="B28" s="473"/>
      <c r="C28" s="473"/>
      <c r="D28" s="473"/>
      <c r="E28" s="473"/>
      <c r="F28" s="606"/>
      <c r="G28" s="9"/>
      <c r="H28" s="9"/>
      <c r="I28" s="9"/>
      <c r="J28" s="9"/>
      <c r="K28" s="473"/>
      <c r="L28" s="473"/>
      <c r="M28" s="473"/>
      <c r="N28" s="473"/>
      <c r="O28" s="473"/>
    </row>
    <row r="29" spans="1:15" ht="15">
      <c r="A29" s="473"/>
      <c r="B29" s="11" t="s">
        <v>4</v>
      </c>
      <c r="C29" s="11" t="s">
        <v>32</v>
      </c>
      <c r="D29" s="11" t="s">
        <v>5</v>
      </c>
      <c r="E29" s="473"/>
      <c r="F29" s="473"/>
      <c r="G29" s="473"/>
      <c r="H29" s="473"/>
      <c r="I29" s="473"/>
      <c r="J29" s="473"/>
      <c r="K29" s="473"/>
      <c r="L29" s="473"/>
      <c r="M29" s="473"/>
      <c r="N29" s="473"/>
      <c r="O29" s="473"/>
    </row>
    <row r="30" spans="1:15" ht="15">
      <c r="A30" s="486" t="s">
        <v>3</v>
      </c>
      <c r="B30" s="595">
        <f>+D30/C30</f>
        <v>450.08948495764781</v>
      </c>
      <c r="C30" s="2">
        <f>+B26</f>
        <v>30813</v>
      </c>
      <c r="D30" s="2">
        <f>+D26</f>
        <v>13868607.300000003</v>
      </c>
      <c r="E30" s="473"/>
      <c r="F30" s="220"/>
      <c r="G30" s="220"/>
      <c r="H30" s="220"/>
      <c r="I30" s="473"/>
      <c r="J30" s="473"/>
      <c r="K30" s="473"/>
      <c r="L30" s="473"/>
      <c r="M30" s="473"/>
      <c r="N30" s="473"/>
      <c r="O30" s="473"/>
    </row>
    <row r="31" spans="1:15" ht="15">
      <c r="A31" s="473"/>
      <c r="B31" s="487"/>
      <c r="C31" s="7"/>
      <c r="D31" s="7"/>
      <c r="E31" s="7"/>
      <c r="F31" s="473"/>
      <c r="G31" s="473"/>
      <c r="H31" s="473"/>
      <c r="I31" s="473"/>
      <c r="J31" s="473"/>
      <c r="K31" s="473"/>
      <c r="L31" s="473"/>
      <c r="M31" s="473"/>
      <c r="N31" s="473"/>
      <c r="O31" s="473"/>
    </row>
    <row r="32" spans="1:15" ht="15">
      <c r="A32" s="309" t="s">
        <v>205</v>
      </c>
      <c r="B32" s="519"/>
      <c r="C32" s="488"/>
      <c r="D32" s="7"/>
      <c r="E32" s="7"/>
      <c r="F32" s="473"/>
      <c r="G32" s="473"/>
      <c r="H32" s="473"/>
      <c r="I32" s="473"/>
      <c r="J32" s="473"/>
      <c r="K32" s="473"/>
      <c r="L32" s="473"/>
      <c r="M32" s="473"/>
      <c r="N32" s="473"/>
      <c r="O32" s="473"/>
    </row>
    <row r="33" spans="1:3" ht="15">
      <c r="A33" s="519"/>
      <c r="B33" s="519"/>
      <c r="C33" s="488"/>
    </row>
    <row r="34" spans="1:3" ht="15">
      <c r="A34" s="587" t="s">
        <v>282</v>
      </c>
      <c r="B34" s="519"/>
      <c r="C34" s="488">
        <f>+'Undergrad Income'!C15</f>
        <v>14598534</v>
      </c>
    </row>
    <row r="35" spans="1:3" ht="15">
      <c r="A35" s="519" t="s">
        <v>31</v>
      </c>
      <c r="B35" s="519"/>
      <c r="C35" s="408">
        <f>+C34*0.05</f>
        <v>729926.70000000007</v>
      </c>
    </row>
    <row r="36" spans="1:3" ht="15.75" thickBot="1">
      <c r="A36" s="489" t="s">
        <v>173</v>
      </c>
      <c r="B36" s="489"/>
      <c r="C36" s="490">
        <f>+C34-C35</f>
        <v>13868607.300000001</v>
      </c>
    </row>
    <row r="37" spans="1:3" ht="15.75" thickTop="1">
      <c r="A37" s="519"/>
      <c r="B37" s="519"/>
      <c r="C37" s="491"/>
    </row>
    <row r="38" spans="1:3" ht="15">
      <c r="A38" s="587" t="s">
        <v>281</v>
      </c>
      <c r="B38" s="519"/>
      <c r="C38" s="491">
        <f>+'Undergrad Income'!C19</f>
        <v>1303941</v>
      </c>
    </row>
    <row r="39" spans="1:3" ht="15">
      <c r="A39" s="519" t="s">
        <v>31</v>
      </c>
      <c r="B39" s="519"/>
      <c r="C39" s="407">
        <f>+C38*0.05</f>
        <v>65197.05</v>
      </c>
    </row>
    <row r="40" spans="1:3" ht="15.75" thickBot="1">
      <c r="A40" s="489" t="s">
        <v>175</v>
      </c>
      <c r="B40" s="489"/>
      <c r="C40" s="490">
        <f>C38-C39</f>
        <v>1238743.95</v>
      </c>
    </row>
    <row r="41" spans="1:3" ht="13.5" thickTop="1">
      <c r="A41" s="492"/>
      <c r="B41" s="492"/>
      <c r="C41" s="492"/>
    </row>
    <row r="42" spans="1:3" ht="15.75" thickBot="1">
      <c r="A42" s="493" t="s">
        <v>174</v>
      </c>
      <c r="B42" s="492"/>
      <c r="C42" s="490">
        <f>C40+C36</f>
        <v>15107351.25</v>
      </c>
    </row>
    <row r="43" spans="1:3" ht="13.5" thickTop="1">
      <c r="A43" s="492"/>
      <c r="B43" s="492"/>
      <c r="C43" s="492"/>
    </row>
    <row r="44" spans="1:3" ht="12.75">
      <c r="A44" s="492" t="s">
        <v>378</v>
      </c>
      <c r="B44" s="492"/>
      <c r="C44" s="492"/>
    </row>
  </sheetData>
  <mergeCells count="3">
    <mergeCell ref="A1:I1"/>
    <mergeCell ref="A2:I2"/>
    <mergeCell ref="A3:I3"/>
  </mergeCells>
  <pageMargins left="0.75" right="0.75" top="1" bottom="1" header="0.5" footer="0.5"/>
  <pageSetup scale="57" orientation="landscape" r:id="rId1"/>
  <headerFooter alignWithMargins="0">
    <oddFooter>&amp;L&amp;9&amp;D
&amp;F
&amp;A</oddFooter>
  </headerFooter>
  <rowBreaks count="1" manualBreakCount="1">
    <brk id="26"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0"/>
  <sheetViews>
    <sheetView workbookViewId="0">
      <selection sqref="A1:E1"/>
    </sheetView>
  </sheetViews>
  <sheetFormatPr defaultRowHeight="15"/>
  <cols>
    <col min="1" max="1" width="41.7109375" style="2" bestFit="1" customWidth="1"/>
    <col min="2" max="2" width="11.28515625" style="2" customWidth="1"/>
    <col min="3" max="3" width="12.28515625" style="2" bestFit="1" customWidth="1"/>
    <col min="4" max="5" width="14.28515625" style="2" customWidth="1"/>
    <col min="6" max="6" width="8.5703125" style="2" bestFit="1" customWidth="1"/>
    <col min="7" max="16384" width="9.140625" style="473"/>
  </cols>
  <sheetData>
    <row r="1" spans="1:6" ht="15.75">
      <c r="A1" s="610" t="s">
        <v>254</v>
      </c>
      <c r="B1" s="610"/>
      <c r="C1" s="610"/>
      <c r="D1" s="610"/>
      <c r="E1" s="610"/>
      <c r="F1" s="75"/>
    </row>
    <row r="2" spans="1:6" ht="15.75">
      <c r="A2" s="610" t="s">
        <v>197</v>
      </c>
      <c r="B2" s="610"/>
      <c r="C2" s="610"/>
      <c r="D2" s="610"/>
      <c r="E2" s="610"/>
      <c r="F2" s="75"/>
    </row>
    <row r="3" spans="1:6" ht="15.75">
      <c r="A3" s="610" t="s">
        <v>334</v>
      </c>
      <c r="B3" s="610"/>
      <c r="C3" s="610"/>
      <c r="D3" s="610"/>
      <c r="E3" s="610"/>
      <c r="F3" s="75"/>
    </row>
    <row r="4" spans="1:6" ht="15.75">
      <c r="A4" s="565" t="s">
        <v>218</v>
      </c>
      <c r="B4" s="475"/>
      <c r="C4" s="475"/>
      <c r="D4" s="475"/>
      <c r="E4" s="475"/>
      <c r="F4" s="475"/>
    </row>
    <row r="5" spans="1:6">
      <c r="A5" s="472"/>
      <c r="D5" s="564"/>
    </row>
    <row r="6" spans="1:6">
      <c r="A6" s="476" t="s">
        <v>333</v>
      </c>
      <c r="B6" s="476">
        <f>+D38</f>
        <v>2434772.1</v>
      </c>
      <c r="C6" s="538"/>
      <c r="D6" s="564"/>
      <c r="E6" s="539"/>
    </row>
    <row r="7" spans="1:6" ht="24.75">
      <c r="A7" s="43" t="s">
        <v>29</v>
      </c>
      <c r="B7" s="477" t="s">
        <v>126</v>
      </c>
      <c r="C7" s="40" t="s">
        <v>126</v>
      </c>
      <c r="D7" s="477" t="s">
        <v>332</v>
      </c>
      <c r="E7" s="477" t="s">
        <v>331</v>
      </c>
      <c r="F7" s="477" t="s">
        <v>328</v>
      </c>
    </row>
    <row r="8" spans="1:6">
      <c r="A8" s="32" t="s">
        <v>11</v>
      </c>
      <c r="B8" s="478">
        <v>213</v>
      </c>
      <c r="C8" s="479">
        <f>B8/$B$25</f>
        <v>3.9111274329783327E-2</v>
      </c>
      <c r="D8" s="566">
        <f>C8*$B$6</f>
        <v>95227.039533602641</v>
      </c>
      <c r="E8" s="566">
        <v>95227</v>
      </c>
      <c r="F8" s="566">
        <f>+D8-E8</f>
        <v>3.9533602641313337E-2</v>
      </c>
    </row>
    <row r="9" spans="1:6">
      <c r="A9" s="34" t="s">
        <v>379</v>
      </c>
      <c r="B9" s="478">
        <v>999</v>
      </c>
      <c r="C9" s="479">
        <f>B9/$B$25</f>
        <v>0.18343738523687109</v>
      </c>
      <c r="D9" s="566">
        <f>C9*$B$6</f>
        <v>446628.22767168563</v>
      </c>
      <c r="E9" s="566">
        <v>446628</v>
      </c>
      <c r="F9" s="566">
        <f t="shared" ref="F9:F24" si="0">+D9-E9</f>
        <v>0.22767168562859297</v>
      </c>
    </row>
    <row r="10" spans="1:6">
      <c r="A10" s="34" t="s">
        <v>13</v>
      </c>
      <c r="B10" s="478">
        <v>0</v>
      </c>
      <c r="C10" s="479">
        <f>B10/$B$25</f>
        <v>0</v>
      </c>
      <c r="D10" s="566">
        <f t="shared" ref="D10:D24" si="1">C10*$B$6</f>
        <v>0</v>
      </c>
      <c r="E10" s="566">
        <v>0</v>
      </c>
      <c r="F10" s="566">
        <f t="shared" si="0"/>
        <v>0</v>
      </c>
    </row>
    <row r="11" spans="1:6">
      <c r="A11" s="34" t="s">
        <v>14</v>
      </c>
      <c r="B11" s="478">
        <v>74</v>
      </c>
      <c r="C11" s="479">
        <f t="shared" ref="C11:C24" si="2">B11/$B$25</f>
        <v>1.3587954461990452E-2</v>
      </c>
      <c r="D11" s="566">
        <f t="shared" si="1"/>
        <v>33083.572420124867</v>
      </c>
      <c r="E11" s="566">
        <v>33084</v>
      </c>
      <c r="F11" s="566">
        <f t="shared" si="0"/>
        <v>-0.42757987513323314</v>
      </c>
    </row>
    <row r="12" spans="1:6">
      <c r="A12" s="34" t="s">
        <v>15</v>
      </c>
      <c r="B12" s="478">
        <v>576</v>
      </c>
      <c r="C12" s="479">
        <f t="shared" si="2"/>
        <v>0.10576569959603378</v>
      </c>
      <c r="D12" s="566">
        <f t="shared" si="1"/>
        <v>257515.37451340433</v>
      </c>
      <c r="E12" s="566">
        <v>257515</v>
      </c>
      <c r="F12" s="566">
        <f t="shared" si="0"/>
        <v>0.37451340432744473</v>
      </c>
    </row>
    <row r="13" spans="1:6">
      <c r="A13" s="34" t="s">
        <v>16</v>
      </c>
      <c r="B13" s="478">
        <v>129</v>
      </c>
      <c r="C13" s="479">
        <f t="shared" si="2"/>
        <v>2.3687109805361733E-2</v>
      </c>
      <c r="D13" s="566">
        <f t="shared" si="1"/>
        <v>57672.714083731182</v>
      </c>
      <c r="E13" s="566">
        <v>57673</v>
      </c>
      <c r="F13" s="566">
        <f t="shared" si="0"/>
        <v>-0.28591626881825505</v>
      </c>
    </row>
    <row r="14" spans="1:6">
      <c r="A14" s="34" t="s">
        <v>17</v>
      </c>
      <c r="B14" s="478">
        <v>0</v>
      </c>
      <c r="C14" s="479">
        <f t="shared" si="2"/>
        <v>0</v>
      </c>
      <c r="D14" s="566">
        <f t="shared" si="1"/>
        <v>0</v>
      </c>
      <c r="E14" s="566">
        <v>0</v>
      </c>
      <c r="F14" s="566">
        <f t="shared" si="0"/>
        <v>0</v>
      </c>
    </row>
    <row r="15" spans="1:6">
      <c r="A15" s="34" t="s">
        <v>18</v>
      </c>
      <c r="B15" s="478">
        <v>3245</v>
      </c>
      <c r="C15" s="479">
        <f>B15/$B$25</f>
        <v>0.59585016525890566</v>
      </c>
      <c r="D15" s="566">
        <f>C15*$B$6</f>
        <v>1450759.3581527728</v>
      </c>
      <c r="E15" s="566">
        <v>1450759</v>
      </c>
      <c r="F15" s="566">
        <f t="shared" si="0"/>
        <v>0.35815277276560664</v>
      </c>
    </row>
    <row r="16" spans="1:6">
      <c r="A16" s="34" t="s">
        <v>19</v>
      </c>
      <c r="B16" s="478">
        <v>0</v>
      </c>
      <c r="C16" s="479">
        <f t="shared" si="2"/>
        <v>0</v>
      </c>
      <c r="D16" s="566">
        <f t="shared" si="1"/>
        <v>0</v>
      </c>
      <c r="E16" s="566">
        <v>0</v>
      </c>
      <c r="F16" s="566">
        <f t="shared" si="0"/>
        <v>0</v>
      </c>
    </row>
    <row r="17" spans="1:6">
      <c r="A17" s="34" t="s">
        <v>20</v>
      </c>
      <c r="B17" s="478">
        <v>210</v>
      </c>
      <c r="C17" s="479">
        <f t="shared" si="2"/>
        <v>3.8560411311053984E-2</v>
      </c>
      <c r="D17" s="566">
        <f t="shared" si="1"/>
        <v>93885.81362467866</v>
      </c>
      <c r="E17" s="566">
        <v>93886</v>
      </c>
      <c r="F17" s="566">
        <f t="shared" si="0"/>
        <v>-0.1863753213401651</v>
      </c>
    </row>
    <row r="18" spans="1:6">
      <c r="A18" s="34" t="s">
        <v>21</v>
      </c>
      <c r="B18" s="478">
        <v>0</v>
      </c>
      <c r="C18" s="479">
        <f t="shared" si="2"/>
        <v>0</v>
      </c>
      <c r="D18" s="566">
        <f t="shared" si="1"/>
        <v>0</v>
      </c>
      <c r="E18" s="566">
        <v>0</v>
      </c>
      <c r="F18" s="566">
        <f t="shared" si="0"/>
        <v>0</v>
      </c>
    </row>
    <row r="19" spans="1:6">
      <c r="A19" s="34" t="s">
        <v>22</v>
      </c>
      <c r="B19" s="478">
        <v>0</v>
      </c>
      <c r="C19" s="479">
        <f t="shared" si="2"/>
        <v>0</v>
      </c>
      <c r="D19" s="566">
        <f t="shared" si="1"/>
        <v>0</v>
      </c>
      <c r="E19" s="566">
        <v>0</v>
      </c>
      <c r="F19" s="566">
        <f t="shared" si="0"/>
        <v>0</v>
      </c>
    </row>
    <row r="20" spans="1:6">
      <c r="A20" s="34" t="s">
        <v>23</v>
      </c>
      <c r="B20" s="478">
        <v>0</v>
      </c>
      <c r="C20" s="479">
        <f>B20/$B$25</f>
        <v>0</v>
      </c>
      <c r="D20" s="566">
        <f t="shared" si="1"/>
        <v>0</v>
      </c>
      <c r="E20" s="566">
        <v>0</v>
      </c>
      <c r="F20" s="566">
        <f t="shared" si="0"/>
        <v>0</v>
      </c>
    </row>
    <row r="21" spans="1:6">
      <c r="A21" s="34" t="s">
        <v>24</v>
      </c>
      <c r="B21" s="478">
        <v>0</v>
      </c>
      <c r="C21" s="479">
        <f t="shared" si="2"/>
        <v>0</v>
      </c>
      <c r="D21" s="566">
        <f t="shared" si="1"/>
        <v>0</v>
      </c>
      <c r="E21" s="566">
        <v>0</v>
      </c>
      <c r="F21" s="566">
        <f t="shared" si="0"/>
        <v>0</v>
      </c>
    </row>
    <row r="22" spans="1:6">
      <c r="A22" s="34" t="s">
        <v>25</v>
      </c>
      <c r="B22" s="478">
        <v>0</v>
      </c>
      <c r="C22" s="479">
        <f t="shared" si="2"/>
        <v>0</v>
      </c>
      <c r="D22" s="566">
        <f t="shared" si="1"/>
        <v>0</v>
      </c>
      <c r="E22" s="566">
        <v>0</v>
      </c>
      <c r="F22" s="566">
        <f t="shared" si="0"/>
        <v>0</v>
      </c>
    </row>
    <row r="23" spans="1:6">
      <c r="A23" s="34" t="s">
        <v>255</v>
      </c>
      <c r="B23" s="478">
        <v>0</v>
      </c>
      <c r="C23" s="479">
        <f t="shared" si="2"/>
        <v>0</v>
      </c>
      <c r="D23" s="566">
        <f>C23*$B$6</f>
        <v>0</v>
      </c>
      <c r="E23" s="566">
        <v>0</v>
      </c>
      <c r="F23" s="566">
        <f t="shared" si="0"/>
        <v>0</v>
      </c>
    </row>
    <row r="24" spans="1:6">
      <c r="A24" s="35" t="s">
        <v>287</v>
      </c>
      <c r="B24" s="478">
        <v>0</v>
      </c>
      <c r="C24" s="479">
        <f t="shared" si="2"/>
        <v>0</v>
      </c>
      <c r="D24" s="566">
        <f t="shared" si="1"/>
        <v>0</v>
      </c>
      <c r="E24" s="566">
        <v>0</v>
      </c>
      <c r="F24" s="566">
        <f t="shared" si="0"/>
        <v>0</v>
      </c>
    </row>
    <row r="25" spans="1:6">
      <c r="A25" s="37"/>
      <c r="B25" s="380">
        <f>SUM(B8:B24)</f>
        <v>5446</v>
      </c>
      <c r="C25" s="485">
        <f>SUM(C8:C24)</f>
        <v>1</v>
      </c>
      <c r="D25" s="567">
        <f>SUM(D8:D24)</f>
        <v>2434772.1</v>
      </c>
      <c r="E25" s="567">
        <f>SUM(E8:E24)</f>
        <v>2434772</v>
      </c>
      <c r="F25" s="567">
        <f>SUM(F8:F24)</f>
        <v>0.10000000007130438</v>
      </c>
    </row>
    <row r="26" spans="1:6">
      <c r="C26" s="7"/>
    </row>
    <row r="27" spans="1:6">
      <c r="B27" s="11" t="s">
        <v>4</v>
      </c>
      <c r="C27" s="11" t="s">
        <v>256</v>
      </c>
      <c r="D27" s="11" t="s">
        <v>5</v>
      </c>
    </row>
    <row r="28" spans="1:6">
      <c r="A28" s="486" t="s">
        <v>3</v>
      </c>
      <c r="B28" s="568">
        <f>D28/C28</f>
        <v>447.0753029746603</v>
      </c>
      <c r="C28" s="2">
        <f>B25</f>
        <v>5446</v>
      </c>
      <c r="D28" s="2">
        <f>D25</f>
        <v>2434772.1</v>
      </c>
    </row>
    <row r="29" spans="1:6">
      <c r="B29" s="487"/>
      <c r="C29" s="7"/>
      <c r="D29" s="7"/>
    </row>
    <row r="30" spans="1:6">
      <c r="A30" s="309" t="s">
        <v>257</v>
      </c>
      <c r="B30" s="552"/>
      <c r="C30" s="488"/>
      <c r="D30" s="7"/>
      <c r="E30" s="7"/>
      <c r="F30" s="7"/>
    </row>
    <row r="31" spans="1:6" ht="26.25">
      <c r="A31" s="552"/>
      <c r="B31" s="569" t="s">
        <v>258</v>
      </c>
      <c r="C31" s="594" t="s">
        <v>329</v>
      </c>
      <c r="D31" s="570" t="s">
        <v>330</v>
      </c>
      <c r="E31" s="7"/>
      <c r="F31" s="82"/>
    </row>
    <row r="32" spans="1:6">
      <c r="A32" s="571" t="s">
        <v>259</v>
      </c>
      <c r="B32" s="488">
        <v>2480287.9</v>
      </c>
      <c r="C32" s="488">
        <v>2562918</v>
      </c>
      <c r="D32" s="572">
        <f>+C32</f>
        <v>2562918</v>
      </c>
      <c r="E32" s="573"/>
      <c r="F32" s="574"/>
    </row>
    <row r="33" spans="1:6">
      <c r="A33" s="571" t="s">
        <v>260</v>
      </c>
      <c r="B33" s="488">
        <v>-17378.43</v>
      </c>
      <c r="C33" s="488">
        <v>0</v>
      </c>
      <c r="D33" s="572">
        <v>0</v>
      </c>
      <c r="E33" s="573"/>
      <c r="F33" s="574"/>
    </row>
    <row r="34" spans="1:6">
      <c r="A34" s="489" t="s">
        <v>261</v>
      </c>
      <c r="B34" s="575">
        <v>2462909.4699999997</v>
      </c>
      <c r="C34" s="575">
        <f>+C32+C33</f>
        <v>2562918</v>
      </c>
      <c r="D34" s="576">
        <f>+D32+D33</f>
        <v>2562918</v>
      </c>
      <c r="E34" s="577"/>
      <c r="F34" s="578"/>
    </row>
    <row r="35" spans="1:6">
      <c r="A35" s="571" t="s">
        <v>262</v>
      </c>
      <c r="B35" s="408">
        <v>-123145.47349999999</v>
      </c>
      <c r="C35" s="408">
        <f>+-(C34)*0.05</f>
        <v>-128145.90000000001</v>
      </c>
      <c r="D35" s="579">
        <f>+-(D34)*0.05</f>
        <v>-128145.90000000001</v>
      </c>
      <c r="E35" s="573"/>
      <c r="F35" s="407"/>
    </row>
    <row r="36" spans="1:6" ht="15.75" thickBot="1">
      <c r="A36" s="489" t="s">
        <v>173</v>
      </c>
      <c r="B36" s="490">
        <v>2339763.9964999999</v>
      </c>
      <c r="C36" s="490">
        <f>+C34+C35</f>
        <v>2434772.1</v>
      </c>
      <c r="D36" s="580">
        <f>+D34+D35</f>
        <v>2434772.1</v>
      </c>
      <c r="E36" s="577"/>
      <c r="F36" s="581"/>
    </row>
    <row r="37" spans="1:6" ht="15.75" thickTop="1">
      <c r="A37" s="552"/>
      <c r="B37" s="491"/>
      <c r="C37" s="491"/>
      <c r="D37" s="582"/>
      <c r="E37" s="160"/>
      <c r="F37" s="491"/>
    </row>
    <row r="38" spans="1:6" ht="15.75" thickBot="1">
      <c r="A38" s="493" t="s">
        <v>263</v>
      </c>
      <c r="B38" s="490">
        <v>2339763.9964999999</v>
      </c>
      <c r="C38" s="490">
        <f>+C36</f>
        <v>2434772.1</v>
      </c>
      <c r="D38" s="580">
        <f>+D36</f>
        <v>2434772.1</v>
      </c>
      <c r="E38" s="583"/>
      <c r="F38" s="581"/>
    </row>
    <row r="39" spans="1:6" ht="15.75" thickTop="1">
      <c r="A39" s="492"/>
      <c r="B39" s="492"/>
    </row>
    <row r="40" spans="1:6">
      <c r="A40" s="492"/>
      <c r="B40" s="492"/>
      <c r="C40" s="492"/>
    </row>
  </sheetData>
  <mergeCells count="3">
    <mergeCell ref="A1:E1"/>
    <mergeCell ref="A2:E2"/>
    <mergeCell ref="A3:E3"/>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B70"/>
  <sheetViews>
    <sheetView zoomScaleNormal="100" workbookViewId="0">
      <selection sqref="A1:H1"/>
    </sheetView>
  </sheetViews>
  <sheetFormatPr defaultRowHeight="11.25"/>
  <cols>
    <col min="1" max="1" width="30.28515625" style="20" customWidth="1"/>
    <col min="2" max="2" width="11.7109375" style="20" customWidth="1"/>
    <col min="3" max="3" width="14.42578125" style="20" customWidth="1"/>
    <col min="4" max="7" width="11.7109375" style="20" customWidth="1"/>
    <col min="8" max="8" width="8.140625" style="20" customWidth="1"/>
    <col min="9" max="13" width="9.7109375" style="20" bestFit="1" customWidth="1"/>
    <col min="14" max="14" width="8.7109375" style="20" bestFit="1" customWidth="1"/>
    <col min="15" max="15" width="11.85546875" style="20" bestFit="1" customWidth="1"/>
    <col min="16" max="17" width="9.7109375" style="20" bestFit="1" customWidth="1"/>
    <col min="18" max="18" width="10.28515625" style="19" bestFit="1" customWidth="1"/>
    <col min="19" max="19" width="7.140625" style="19" bestFit="1" customWidth="1"/>
    <col min="20" max="21" width="10.28515625" style="19" bestFit="1" customWidth="1"/>
    <col min="22" max="22" width="9" style="20" bestFit="1" customWidth="1"/>
    <col min="23" max="23" width="11.28515625" style="20" bestFit="1" customWidth="1"/>
    <col min="24" max="24" width="8.7109375" style="20" bestFit="1" customWidth="1"/>
    <col min="25" max="25" width="11.28515625" style="20" bestFit="1" customWidth="1"/>
    <col min="26" max="28" width="9.85546875" style="20" bestFit="1" customWidth="1"/>
    <col min="29" max="29" width="11.28515625" style="20" bestFit="1" customWidth="1"/>
    <col min="30" max="55" width="9.85546875" style="20" bestFit="1" customWidth="1"/>
    <col min="56" max="56" width="10.5703125" style="20" bestFit="1" customWidth="1"/>
    <col min="57" max="16384" width="9.140625" style="20"/>
  </cols>
  <sheetData>
    <row r="1" spans="1:28" s="18" customFormat="1" ht="15.75">
      <c r="A1" s="610" t="s">
        <v>6</v>
      </c>
      <c r="B1" s="610"/>
      <c r="C1" s="610"/>
      <c r="D1" s="610"/>
      <c r="E1" s="610"/>
      <c r="F1" s="610"/>
      <c r="G1" s="610"/>
      <c r="H1" s="610"/>
      <c r="I1" s="75"/>
      <c r="J1" s="75"/>
      <c r="K1" s="75"/>
      <c r="L1" s="75"/>
      <c r="M1" s="75"/>
      <c r="N1" s="75"/>
      <c r="O1" s="75"/>
      <c r="P1" s="75"/>
      <c r="Q1" s="75"/>
      <c r="R1" s="75"/>
      <c r="S1" s="75"/>
      <c r="T1" s="75"/>
      <c r="U1" s="75"/>
      <c r="V1" s="75"/>
    </row>
    <row r="2" spans="1:28" s="18" customFormat="1" ht="15.75">
      <c r="A2" s="610" t="s">
        <v>341</v>
      </c>
      <c r="B2" s="610"/>
      <c r="C2" s="610"/>
      <c r="D2" s="610"/>
      <c r="E2" s="610"/>
      <c r="F2" s="610"/>
      <c r="G2" s="610"/>
      <c r="H2" s="610"/>
      <c r="I2" s="75"/>
      <c r="J2" s="75"/>
      <c r="K2" s="75"/>
      <c r="L2" s="75"/>
      <c r="M2" s="75"/>
      <c r="N2" s="75"/>
      <c r="O2" s="75"/>
      <c r="P2" s="75"/>
      <c r="Q2" s="75"/>
      <c r="R2" s="75"/>
      <c r="S2" s="75"/>
      <c r="T2" s="75"/>
      <c r="U2" s="75"/>
      <c r="V2" s="75"/>
    </row>
    <row r="3" spans="1:28" s="18" customFormat="1" ht="15.75">
      <c r="A3" s="610" t="s">
        <v>342</v>
      </c>
      <c r="B3" s="610"/>
      <c r="C3" s="610"/>
      <c r="D3" s="610"/>
      <c r="E3" s="610"/>
      <c r="F3" s="610"/>
      <c r="G3" s="610"/>
      <c r="H3" s="610"/>
      <c r="I3" s="75"/>
      <c r="J3" s="75"/>
      <c r="K3" s="75"/>
      <c r="L3" s="75"/>
      <c r="M3" s="75"/>
      <c r="N3" s="75"/>
      <c r="O3" s="75"/>
      <c r="P3" s="75"/>
      <c r="Q3" s="75"/>
      <c r="R3" s="75"/>
      <c r="S3" s="75"/>
      <c r="T3" s="75"/>
      <c r="U3" s="75"/>
      <c r="V3" s="75"/>
    </row>
    <row r="4" spans="1:28" s="23" customFormat="1" ht="12">
      <c r="B4" s="2"/>
      <c r="C4" s="2"/>
      <c r="D4" s="2"/>
      <c r="E4" s="2"/>
      <c r="F4" s="2"/>
      <c r="I4" s="2"/>
      <c r="J4" s="620"/>
      <c r="K4" s="620"/>
      <c r="L4" s="620"/>
      <c r="M4" s="620"/>
      <c r="N4" s="2"/>
      <c r="O4" s="2"/>
      <c r="P4" s="2"/>
      <c r="Q4" s="2"/>
      <c r="R4" s="24"/>
      <c r="S4" s="24"/>
      <c r="T4" s="24"/>
      <c r="U4" s="24"/>
    </row>
    <row r="5" spans="1:28" s="23" customFormat="1" ht="12">
      <c r="A5" s="25"/>
      <c r="B5" s="2"/>
      <c r="J5" s="621"/>
      <c r="K5" s="621"/>
      <c r="L5" s="621"/>
      <c r="M5" s="621"/>
      <c r="N5" s="26"/>
      <c r="O5" s="26"/>
      <c r="R5" s="25"/>
    </row>
    <row r="6" spans="1:28" s="23" customFormat="1" ht="12">
      <c r="I6" s="27"/>
      <c r="J6" s="27"/>
      <c r="K6" s="27"/>
      <c r="L6" s="27"/>
      <c r="M6" s="27"/>
      <c r="N6" s="27"/>
      <c r="O6" s="27"/>
      <c r="P6" s="27"/>
      <c r="S6" s="25"/>
      <c r="T6" s="24"/>
      <c r="V6" s="29"/>
      <c r="W6" s="29"/>
      <c r="Y6" s="27"/>
      <c r="Z6" s="27"/>
      <c r="AA6" s="27"/>
      <c r="AB6" s="27"/>
    </row>
    <row r="7" spans="1:28" s="23" customFormat="1" ht="15.75" customHeight="1">
      <c r="A7" s="505" t="s">
        <v>343</v>
      </c>
      <c r="B7" s="505"/>
      <c r="C7" s="505"/>
      <c r="D7" s="505"/>
      <c r="E7" s="505"/>
      <c r="F7" s="504"/>
      <c r="G7" s="504"/>
      <c r="H7" s="27"/>
      <c r="I7" s="27"/>
      <c r="J7" s="27"/>
      <c r="K7" s="27"/>
      <c r="L7" s="27"/>
      <c r="M7" s="27"/>
      <c r="N7" s="27"/>
      <c r="O7" s="27"/>
      <c r="P7" s="27"/>
      <c r="Q7" s="27"/>
      <c r="R7" s="30"/>
      <c r="S7" s="24"/>
      <c r="T7" s="24"/>
      <c r="U7" s="24"/>
    </row>
    <row r="8" spans="1:28" s="23" customFormat="1" ht="44.25" customHeight="1">
      <c r="A8" s="506" t="s">
        <v>29</v>
      </c>
      <c r="B8" s="508" t="s">
        <v>219</v>
      </c>
      <c r="C8" s="509" t="s">
        <v>49</v>
      </c>
      <c r="D8" s="509" t="s">
        <v>50</v>
      </c>
      <c r="E8" s="509" t="s">
        <v>229</v>
      </c>
      <c r="F8" s="510" t="s">
        <v>135</v>
      </c>
      <c r="G8" s="510" t="s">
        <v>27</v>
      </c>
      <c r="Q8" s="24"/>
      <c r="R8" s="24"/>
      <c r="S8" s="24"/>
      <c r="T8" s="24"/>
    </row>
    <row r="9" spans="1:28" s="23" customFormat="1" ht="15" customHeight="1">
      <c r="A9" s="32" t="s">
        <v>11</v>
      </c>
      <c r="B9" s="514">
        <v>4077845.8187177284</v>
      </c>
      <c r="C9" s="527">
        <f t="shared" ref="C9:C14" si="0">+B9*0.02</f>
        <v>81556.916374354565</v>
      </c>
      <c r="D9" s="527">
        <f t="shared" ref="D9:D14" si="1">+B9-C9</f>
        <v>3996288.9023433737</v>
      </c>
      <c r="E9" s="411">
        <f>(E38*B19)+611332</f>
        <v>616820.12493567145</v>
      </c>
      <c r="F9" s="555">
        <f t="shared" ref="F9:F14" si="2">D9-E9</f>
        <v>3379468.7774077021</v>
      </c>
      <c r="G9" s="516">
        <f t="shared" ref="G9:G14" si="3">F9/$F$15</f>
        <v>5.0553843106611741E-2</v>
      </c>
      <c r="H9" s="27"/>
      <c r="I9" s="27"/>
      <c r="J9" s="27"/>
      <c r="K9" s="27"/>
      <c r="L9" s="27"/>
      <c r="M9" s="27"/>
      <c r="N9" s="27"/>
      <c r="O9" s="27"/>
      <c r="Q9" s="24"/>
      <c r="R9" s="31"/>
      <c r="S9" s="24"/>
      <c r="T9" s="24"/>
    </row>
    <row r="10" spans="1:28" s="23" customFormat="1" ht="15" customHeight="1">
      <c r="A10" s="34" t="s">
        <v>379</v>
      </c>
      <c r="B10" s="294">
        <v>13819229.4353789</v>
      </c>
      <c r="C10" s="6">
        <f t="shared" si="0"/>
        <v>276384.58870757802</v>
      </c>
      <c r="D10" s="6">
        <f t="shared" si="1"/>
        <v>13542844.846671322</v>
      </c>
      <c r="E10" s="412">
        <f>(E39*$B$19)+1484439</f>
        <v>1463302.4330335835</v>
      </c>
      <c r="F10" s="295">
        <f t="shared" si="2"/>
        <v>12079542.413637739</v>
      </c>
      <c r="G10" s="517">
        <f t="shared" si="3"/>
        <v>0.18069919629413783</v>
      </c>
      <c r="H10" s="27"/>
      <c r="I10" s="27"/>
      <c r="J10" s="27"/>
      <c r="K10" s="27"/>
      <c r="L10" s="27"/>
      <c r="M10" s="27"/>
      <c r="N10" s="27"/>
      <c r="O10" s="27"/>
      <c r="Q10" s="24"/>
      <c r="R10" s="31"/>
      <c r="S10" s="24"/>
      <c r="T10" s="24"/>
    </row>
    <row r="11" spans="1:28" s="23" customFormat="1" ht="15" customHeight="1">
      <c r="A11" s="34" t="s">
        <v>14</v>
      </c>
      <c r="B11" s="294">
        <v>35387424.920796789</v>
      </c>
      <c r="C11" s="6">
        <f t="shared" si="0"/>
        <v>707748.49841593578</v>
      </c>
      <c r="D11" s="6">
        <f t="shared" si="1"/>
        <v>34679676.42238085</v>
      </c>
      <c r="E11" s="412">
        <f>(E40*$B$19)+3959938</f>
        <v>3901046.7472151336</v>
      </c>
      <c r="F11" s="295">
        <f t="shared" si="2"/>
        <v>30778629.675165717</v>
      </c>
      <c r="G11" s="517">
        <f t="shared" si="3"/>
        <v>0.46042088805104453</v>
      </c>
      <c r="H11" s="27"/>
      <c r="I11" s="27"/>
      <c r="J11" s="27"/>
      <c r="K11" s="27"/>
      <c r="L11" s="27"/>
      <c r="M11" s="27"/>
      <c r="N11" s="27"/>
      <c r="O11" s="27"/>
      <c r="Q11" s="24"/>
      <c r="R11" s="31"/>
      <c r="S11" s="24"/>
      <c r="T11" s="24"/>
    </row>
    <row r="12" spans="1:28" s="23" customFormat="1" ht="15" customHeight="1">
      <c r="A12" s="34" t="s">
        <v>15</v>
      </c>
      <c r="B12" s="294">
        <v>2320188.4053921062</v>
      </c>
      <c r="C12" s="6">
        <f t="shared" si="0"/>
        <v>46403.768107842123</v>
      </c>
      <c r="D12" s="6">
        <f t="shared" si="1"/>
        <v>2273784.637284264</v>
      </c>
      <c r="E12" s="412">
        <f>(E41*$B$19)+213520</f>
        <v>208670.4493992631</v>
      </c>
      <c r="F12" s="295">
        <f t="shared" si="2"/>
        <v>2065114.1878850008</v>
      </c>
      <c r="G12" s="517">
        <f t="shared" si="3"/>
        <v>3.0892269030417918E-2</v>
      </c>
      <c r="H12" s="27"/>
      <c r="I12" s="27"/>
      <c r="J12" s="27"/>
      <c r="K12" s="27"/>
      <c r="L12" s="27"/>
      <c r="M12" s="27"/>
      <c r="N12" s="27"/>
      <c r="O12" s="27"/>
      <c r="Q12" s="24"/>
      <c r="R12" s="31"/>
      <c r="S12" s="24"/>
      <c r="T12" s="24"/>
    </row>
    <row r="13" spans="1:28" s="23" customFormat="1" ht="15" customHeight="1">
      <c r="A13" s="34" t="s">
        <v>16</v>
      </c>
      <c r="B13" s="294">
        <v>663018.97096728696</v>
      </c>
      <c r="C13" s="6">
        <f t="shared" si="0"/>
        <v>13260.37941934574</v>
      </c>
      <c r="D13" s="6">
        <f t="shared" si="1"/>
        <v>649758.59154794121</v>
      </c>
      <c r="E13" s="412">
        <f>(E42*$B$19)+101317</f>
        <v>99223.024046460399</v>
      </c>
      <c r="F13" s="295">
        <f t="shared" si="2"/>
        <v>550535.56750148081</v>
      </c>
      <c r="G13" s="517">
        <f t="shared" si="3"/>
        <v>8.2355217749424652E-3</v>
      </c>
      <c r="H13" s="27"/>
      <c r="I13" s="27"/>
      <c r="J13" s="27"/>
      <c r="K13" s="27"/>
      <c r="L13" s="27"/>
      <c r="M13" s="27"/>
      <c r="N13" s="27"/>
      <c r="O13" s="27"/>
      <c r="Q13" s="24"/>
      <c r="R13" s="31"/>
      <c r="S13" s="24"/>
      <c r="T13" s="24"/>
    </row>
    <row r="14" spans="1:28" s="23" customFormat="1" ht="15" customHeight="1">
      <c r="A14" s="34" t="s">
        <v>18</v>
      </c>
      <c r="B14" s="378">
        <v>20005323.575940479</v>
      </c>
      <c r="C14" s="459">
        <f t="shared" si="0"/>
        <v>400106.47151880956</v>
      </c>
      <c r="D14" s="459">
        <f t="shared" si="1"/>
        <v>19605217.104421668</v>
      </c>
      <c r="E14" s="413">
        <f>(E43*$B$19)+1594825</f>
        <v>1609608.2213698877</v>
      </c>
      <c r="F14" s="556">
        <f t="shared" si="2"/>
        <v>17995608.883051779</v>
      </c>
      <c r="G14" s="518">
        <f t="shared" si="3"/>
        <v>0.26919828174284549</v>
      </c>
      <c r="Q14" s="24"/>
      <c r="R14" s="24"/>
      <c r="S14" s="24"/>
      <c r="T14" s="24"/>
    </row>
    <row r="15" spans="1:28" s="23" customFormat="1" ht="18.75" customHeight="1">
      <c r="A15" s="507" t="s">
        <v>8</v>
      </c>
      <c r="B15" s="511">
        <f>SUM(B9:B14)</f>
        <v>76273031.127193287</v>
      </c>
      <c r="C15" s="512">
        <f>SUM(C9:C14)</f>
        <v>1525460.6225438658</v>
      </c>
      <c r="D15" s="512">
        <f>SUM(D9:D14)</f>
        <v>74747570.504649431</v>
      </c>
      <c r="E15" s="512">
        <f>SUM(E9:E14)</f>
        <v>7898670.9999999991</v>
      </c>
      <c r="F15" s="513">
        <f>SUM(F9:F14)</f>
        <v>66848899.504649416</v>
      </c>
      <c r="G15" s="562">
        <v>1</v>
      </c>
      <c r="Q15" s="24"/>
      <c r="R15" s="24"/>
      <c r="S15" s="24"/>
      <c r="T15" s="24"/>
    </row>
    <row r="16" spans="1:28" s="23" customFormat="1" ht="12">
      <c r="A16" s="6"/>
      <c r="B16" s="6"/>
      <c r="C16" s="6"/>
      <c r="D16" s="6"/>
      <c r="E16" s="6"/>
      <c r="F16" s="6"/>
      <c r="R16" s="24"/>
      <c r="S16" s="24"/>
      <c r="T16" s="24"/>
      <c r="U16" s="24"/>
    </row>
    <row r="17" spans="1:21" s="23" customFormat="1" ht="12">
      <c r="A17" s="6"/>
      <c r="B17" s="6"/>
      <c r="C17" s="6"/>
      <c r="D17" s="6"/>
      <c r="E17" s="6"/>
      <c r="F17" s="6"/>
      <c r="R17" s="24"/>
      <c r="S17" s="24"/>
      <c r="T17" s="24"/>
      <c r="U17" s="24"/>
    </row>
    <row r="18" spans="1:21" s="23" customFormat="1" ht="15" customHeight="1">
      <c r="A18" s="52" t="s">
        <v>279</v>
      </c>
      <c r="B18" s="310"/>
      <c r="C18" s="46"/>
      <c r="D18" s="46"/>
      <c r="F18" s="561"/>
      <c r="H18" s="47"/>
      <c r="Q18" s="24"/>
      <c r="R18" s="24"/>
      <c r="S18" s="24"/>
      <c r="T18" s="24"/>
    </row>
    <row r="19" spans="1:21" s="23" customFormat="1" ht="15" customHeight="1">
      <c r="A19" s="541" t="s">
        <v>367</v>
      </c>
      <c r="B19" s="586">
        <f>+ROUND((B68),-2)</f>
        <v>-66700</v>
      </c>
      <c r="C19" s="46"/>
      <c r="D19" s="46"/>
      <c r="F19" s="561"/>
      <c r="H19" s="47"/>
      <c r="Q19" s="24"/>
      <c r="R19" s="24"/>
      <c r="S19" s="24"/>
      <c r="T19" s="24"/>
    </row>
    <row r="20" spans="1:21" s="23" customFormat="1" ht="15" customHeight="1">
      <c r="A20" s="541" t="s">
        <v>264</v>
      </c>
      <c r="B20" s="546">
        <v>157500</v>
      </c>
      <c r="C20" s="46"/>
      <c r="D20" s="46"/>
      <c r="F20" s="361"/>
      <c r="H20" s="47"/>
      <c r="Q20" s="24"/>
      <c r="R20" s="24"/>
      <c r="S20" s="24"/>
      <c r="T20" s="24"/>
    </row>
    <row r="21" spans="1:21" s="23" customFormat="1" ht="15" customHeight="1">
      <c r="A21" s="541" t="s">
        <v>265</v>
      </c>
      <c r="B21" s="546">
        <v>274500</v>
      </c>
      <c r="C21" s="46"/>
      <c r="D21" s="46"/>
      <c r="F21" s="361"/>
      <c r="H21" s="47"/>
      <c r="Q21" s="24"/>
      <c r="R21" s="24"/>
      <c r="S21" s="24"/>
      <c r="T21" s="24"/>
    </row>
    <row r="22" spans="1:21" s="23" customFormat="1" ht="15" customHeight="1">
      <c r="A22" s="51" t="s">
        <v>266</v>
      </c>
      <c r="B22" s="54">
        <v>397400</v>
      </c>
      <c r="C22" s="46"/>
      <c r="D22" s="46"/>
      <c r="F22" s="361"/>
      <c r="H22" s="47"/>
      <c r="Q22" s="24"/>
      <c r="R22" s="24"/>
      <c r="S22" s="24"/>
      <c r="T22" s="24"/>
    </row>
    <row r="23" spans="1:21" s="23" customFormat="1" ht="15" customHeight="1">
      <c r="A23" s="51" t="s">
        <v>267</v>
      </c>
      <c r="B23" s="54">
        <v>672000</v>
      </c>
      <c r="C23" s="46"/>
      <c r="D23" s="46"/>
      <c r="H23" s="373"/>
      <c r="Q23" s="24"/>
      <c r="R23" s="24"/>
      <c r="S23" s="24"/>
      <c r="T23" s="24"/>
    </row>
    <row r="24" spans="1:21" s="23" customFormat="1" ht="15" customHeight="1">
      <c r="A24" s="51" t="s">
        <v>268</v>
      </c>
      <c r="B24" s="54">
        <v>768000</v>
      </c>
      <c r="C24" s="46"/>
      <c r="D24" s="46"/>
      <c r="H24" s="373"/>
      <c r="Q24" s="24"/>
      <c r="R24" s="24"/>
      <c r="S24" s="24"/>
      <c r="T24" s="24"/>
    </row>
    <row r="25" spans="1:21" s="23" customFormat="1" ht="15" customHeight="1">
      <c r="A25" s="51" t="s">
        <v>269</v>
      </c>
      <c r="B25" s="54">
        <v>703000</v>
      </c>
      <c r="C25" s="46"/>
      <c r="D25" s="46"/>
      <c r="H25" s="325"/>
      <c r="Q25" s="24"/>
      <c r="R25" s="24"/>
      <c r="S25" s="24"/>
      <c r="T25" s="24"/>
    </row>
    <row r="26" spans="1:21" s="23" customFormat="1" ht="15" customHeight="1">
      <c r="A26" s="51" t="s">
        <v>270</v>
      </c>
      <c r="B26" s="54">
        <v>972000</v>
      </c>
      <c r="C26" s="46"/>
      <c r="D26" s="46"/>
      <c r="E26" s="48"/>
      <c r="F26" s="48"/>
      <c r="G26" s="48"/>
      <c r="H26" s="48"/>
      <c r="Q26" s="24"/>
      <c r="R26" s="24"/>
      <c r="S26" s="24"/>
      <c r="T26" s="24"/>
    </row>
    <row r="27" spans="1:21" s="23" customFormat="1" ht="15" customHeight="1">
      <c r="A27" s="51" t="s">
        <v>271</v>
      </c>
      <c r="B27" s="54">
        <v>1405000</v>
      </c>
      <c r="C27" s="46"/>
      <c r="D27" s="46"/>
      <c r="E27" s="48"/>
      <c r="F27" s="48"/>
      <c r="G27" s="48"/>
      <c r="H27" s="48"/>
      <c r="Q27" s="24"/>
      <c r="R27" s="24"/>
      <c r="S27" s="24"/>
      <c r="T27" s="24"/>
    </row>
    <row r="28" spans="1:21" s="23" customFormat="1" ht="15" customHeight="1">
      <c r="A28" s="51" t="s">
        <v>272</v>
      </c>
      <c r="B28" s="54">
        <v>598000</v>
      </c>
      <c r="C28" s="46"/>
      <c r="D28" s="46"/>
      <c r="E28" s="48"/>
      <c r="F28" s="48"/>
      <c r="G28" s="48"/>
      <c r="H28" s="48"/>
      <c r="Q28" s="24"/>
      <c r="R28" s="24"/>
    </row>
    <row r="29" spans="1:21" s="23" customFormat="1" ht="15" customHeight="1">
      <c r="A29" s="51" t="s">
        <v>273</v>
      </c>
      <c r="B29" s="54">
        <v>283000</v>
      </c>
      <c r="C29" s="46"/>
      <c r="D29" s="46"/>
      <c r="E29" s="49"/>
      <c r="F29" s="48"/>
      <c r="G29" s="48"/>
      <c r="H29" s="48"/>
      <c r="Q29" s="24"/>
      <c r="R29" s="24"/>
    </row>
    <row r="30" spans="1:21" s="23" customFormat="1" ht="15" customHeight="1">
      <c r="A30" s="51" t="s">
        <v>274</v>
      </c>
      <c r="B30" s="55">
        <v>485000</v>
      </c>
      <c r="C30" s="46"/>
      <c r="D30" s="46"/>
      <c r="E30" s="48"/>
      <c r="F30" s="48"/>
      <c r="G30" s="48"/>
      <c r="H30" s="48"/>
      <c r="Q30" s="24"/>
      <c r="R30" s="24"/>
    </row>
    <row r="31" spans="1:21" s="23" customFormat="1" ht="15" customHeight="1">
      <c r="A31" s="51" t="s">
        <v>275</v>
      </c>
      <c r="B31" s="55">
        <v>275000</v>
      </c>
      <c r="C31" s="46"/>
      <c r="D31" s="46"/>
      <c r="E31" s="50"/>
      <c r="F31" s="50"/>
      <c r="G31" s="50"/>
      <c r="H31" s="50"/>
      <c r="Q31" s="24"/>
      <c r="R31" s="24"/>
    </row>
    <row r="32" spans="1:21" s="23" customFormat="1" ht="15" customHeight="1">
      <c r="A32" s="51" t="s">
        <v>276</v>
      </c>
      <c r="B32" s="55">
        <v>218000</v>
      </c>
      <c r="C32" s="46"/>
      <c r="D32" s="46"/>
      <c r="E32" s="50"/>
      <c r="F32" s="50"/>
      <c r="G32" s="50"/>
      <c r="H32" s="50"/>
      <c r="I32" s="50"/>
      <c r="R32" s="24"/>
      <c r="S32" s="24"/>
    </row>
    <row r="33" spans="1:21" s="23" customFormat="1" ht="12" customHeight="1">
      <c r="A33" s="51" t="s">
        <v>277</v>
      </c>
      <c r="B33" s="55">
        <v>757000</v>
      </c>
      <c r="C33" s="50"/>
      <c r="D33" s="50"/>
      <c r="E33" s="50"/>
      <c r="F33" s="50"/>
      <c r="G33" s="50"/>
      <c r="H33" s="50"/>
      <c r="I33" s="50"/>
      <c r="R33" s="24"/>
      <c r="S33" s="24"/>
    </row>
    <row r="34" spans="1:21" s="23" customFormat="1" ht="12">
      <c r="A34" s="53" t="s">
        <v>278</v>
      </c>
      <c r="B34" s="65">
        <f>SUM(B19:B33)</f>
        <v>7898700</v>
      </c>
      <c r="C34" s="50"/>
      <c r="D34" s="50"/>
      <c r="E34" s="50"/>
      <c r="N34" s="24"/>
      <c r="O34" s="24"/>
    </row>
    <row r="35" spans="1:21" s="23" customFormat="1" ht="27.75" customHeight="1">
      <c r="A35" s="50"/>
      <c r="B35" s="50"/>
      <c r="C35" s="50"/>
      <c r="D35" s="50"/>
      <c r="E35" s="50"/>
      <c r="F35" s="27"/>
      <c r="N35" s="24"/>
      <c r="O35" s="24"/>
    </row>
    <row r="36" spans="1:21" s="23" customFormat="1" ht="15" customHeight="1">
      <c r="A36" s="50"/>
      <c r="B36" s="363"/>
      <c r="C36" s="50"/>
      <c r="D36" s="50"/>
      <c r="E36" s="50"/>
      <c r="F36" s="27"/>
      <c r="N36" s="24"/>
      <c r="O36" s="24"/>
    </row>
    <row r="37" spans="1:21" ht="14.25" customHeight="1">
      <c r="A37" s="61" t="s">
        <v>344</v>
      </c>
      <c r="B37" s="56" t="s">
        <v>345</v>
      </c>
      <c r="C37" s="62" t="s">
        <v>346</v>
      </c>
      <c r="D37" s="63" t="s">
        <v>131</v>
      </c>
      <c r="E37" s="515" t="s">
        <v>28</v>
      </c>
      <c r="F37" s="22"/>
      <c r="N37" s="19"/>
      <c r="O37" s="19"/>
      <c r="R37" s="20"/>
      <c r="S37" s="20"/>
      <c r="T37" s="20"/>
      <c r="U37" s="20"/>
    </row>
    <row r="38" spans="1:21" ht="14.25" customHeight="1">
      <c r="A38" s="543" t="s">
        <v>11</v>
      </c>
      <c r="B38" s="542">
        <v>4164535</v>
      </c>
      <c r="C38" s="57">
        <f t="shared" ref="C38:C43" si="4">B9</f>
        <v>4077845.8187177284</v>
      </c>
      <c r="D38" s="57">
        <f t="shared" ref="D38:D43" si="5">C38-B38</f>
        <v>-86689.181282271631</v>
      </c>
      <c r="E38" s="58">
        <f t="shared" ref="E38:E43" si="6">D38/$D$44</f>
        <v>-8.2280733668237654E-2</v>
      </c>
      <c r="F38" s="22"/>
      <c r="N38" s="19"/>
      <c r="O38" s="19"/>
      <c r="P38" s="19"/>
      <c r="Q38" s="19"/>
      <c r="R38" s="20"/>
      <c r="S38" s="20"/>
      <c r="T38" s="20"/>
      <c r="U38" s="20"/>
    </row>
    <row r="39" spans="1:21" ht="14.25" customHeight="1">
      <c r="A39" s="544" t="s">
        <v>12</v>
      </c>
      <c r="B39" s="412">
        <v>13485361</v>
      </c>
      <c r="C39" s="57">
        <f t="shared" si="4"/>
        <v>13819229.4353789</v>
      </c>
      <c r="D39" s="57">
        <f t="shared" si="5"/>
        <v>333868.4353788998</v>
      </c>
      <c r="E39" s="58">
        <f t="shared" si="6"/>
        <v>0.31689005946651394</v>
      </c>
      <c r="N39" s="19"/>
      <c r="O39" s="19"/>
      <c r="P39" s="19"/>
      <c r="Q39" s="19"/>
      <c r="R39" s="20"/>
      <c r="S39" s="20"/>
      <c r="T39" s="20"/>
      <c r="U39" s="20"/>
    </row>
    <row r="40" spans="1:21" ht="14.25" customHeight="1">
      <c r="A40" s="544" t="s">
        <v>14</v>
      </c>
      <c r="B40" s="57">
        <v>34457192</v>
      </c>
      <c r="C40" s="57">
        <f t="shared" si="4"/>
        <v>35387424.920796789</v>
      </c>
      <c r="D40" s="57">
        <f t="shared" si="5"/>
        <v>930232.92079678923</v>
      </c>
      <c r="E40" s="58">
        <f t="shared" si="6"/>
        <v>0.8829273281089377</v>
      </c>
      <c r="F40" s="22"/>
      <c r="N40" s="19"/>
      <c r="O40" s="19"/>
      <c r="P40" s="19"/>
      <c r="Q40" s="19"/>
      <c r="R40" s="20"/>
      <c r="S40" s="20"/>
      <c r="T40" s="20"/>
      <c r="U40" s="20"/>
    </row>
    <row r="41" spans="1:21" ht="14.25" customHeight="1">
      <c r="A41" s="544" t="s">
        <v>15</v>
      </c>
      <c r="B41" s="57">
        <v>2243586</v>
      </c>
      <c r="C41" s="57">
        <f t="shared" si="4"/>
        <v>2320188.4053921062</v>
      </c>
      <c r="D41" s="57">
        <f t="shared" si="5"/>
        <v>76602.405392106157</v>
      </c>
      <c r="E41" s="58">
        <f t="shared" si="6"/>
        <v>7.2706905558274471E-2</v>
      </c>
      <c r="N41" s="19"/>
      <c r="O41" s="19"/>
      <c r="P41" s="19"/>
      <c r="Q41" s="19"/>
      <c r="R41" s="20"/>
      <c r="S41" s="20"/>
      <c r="T41" s="20"/>
      <c r="U41" s="20"/>
    </row>
    <row r="42" spans="1:21" ht="14.25" customHeight="1">
      <c r="A42" s="544" t="s">
        <v>16</v>
      </c>
      <c r="B42" s="57">
        <v>629943</v>
      </c>
      <c r="C42" s="57">
        <f t="shared" si="4"/>
        <v>663018.97096728696</v>
      </c>
      <c r="D42" s="57">
        <f t="shared" si="5"/>
        <v>33075.970967286965</v>
      </c>
      <c r="E42" s="58">
        <f t="shared" si="6"/>
        <v>3.1393942331928139E-2</v>
      </c>
      <c r="F42" s="47"/>
      <c r="G42" s="47"/>
      <c r="H42" s="47"/>
      <c r="Q42" s="19"/>
      <c r="U42" s="20"/>
    </row>
    <row r="43" spans="1:21" ht="12">
      <c r="A43" s="545" t="s">
        <v>18</v>
      </c>
      <c r="B43" s="603">
        <v>20238836</v>
      </c>
      <c r="C43" s="57">
        <f t="shared" si="4"/>
        <v>20005323.575940479</v>
      </c>
      <c r="D43" s="59">
        <f t="shared" si="5"/>
        <v>-233512.42405952141</v>
      </c>
      <c r="E43" s="60">
        <f t="shared" si="6"/>
        <v>-0.22163750179741656</v>
      </c>
      <c r="F43" s="47"/>
      <c r="G43" s="47"/>
      <c r="H43" s="47"/>
      <c r="I43" s="47"/>
    </row>
    <row r="44" spans="1:21" ht="12">
      <c r="A44" s="69" t="s">
        <v>33</v>
      </c>
      <c r="B44" s="66">
        <f>SUM(B38:B43)</f>
        <v>75219453</v>
      </c>
      <c r="C44" s="471">
        <f>SUM(C38:C43)</f>
        <v>76273031.127193287</v>
      </c>
      <c r="D44" s="66">
        <f>SUM(D38:D43)</f>
        <v>1053578.1271932891</v>
      </c>
      <c r="E44" s="67">
        <f>SUM(E38:E43)</f>
        <v>1</v>
      </c>
    </row>
    <row r="45" spans="1:21" ht="12">
      <c r="A45" s="47"/>
      <c r="B45" s="312"/>
      <c r="C45" s="47"/>
      <c r="D45" s="47"/>
      <c r="E45" s="47"/>
      <c r="F45" s="382"/>
      <c r="G45" s="382"/>
      <c r="H45" s="382"/>
      <c r="I45" s="382"/>
      <c r="J45" s="382"/>
    </row>
    <row r="46" spans="1:21" ht="12">
      <c r="A46" s="397"/>
      <c r="B46" s="397"/>
      <c r="C46" s="397"/>
      <c r="D46" s="409"/>
      <c r="E46" s="397"/>
      <c r="F46" s="382"/>
      <c r="G46" s="382"/>
      <c r="H46" s="382"/>
      <c r="I46" s="382"/>
      <c r="J46" s="382"/>
    </row>
    <row r="47" spans="1:21">
      <c r="A47" s="382"/>
      <c r="B47" s="382"/>
      <c r="C47" s="382"/>
      <c r="D47" s="382"/>
      <c r="E47" s="382"/>
      <c r="F47" s="382"/>
      <c r="G47" s="382"/>
      <c r="H47" s="382"/>
      <c r="I47" s="382"/>
      <c r="J47" s="382"/>
    </row>
    <row r="48" spans="1:21">
      <c r="A48" s="382"/>
      <c r="B48" s="382"/>
      <c r="C48" s="382"/>
      <c r="D48" s="382"/>
      <c r="E48" s="382"/>
      <c r="F48" s="382"/>
      <c r="G48" s="382"/>
      <c r="H48" s="382"/>
      <c r="I48" s="382"/>
      <c r="J48" s="382"/>
    </row>
    <row r="49" spans="1:22">
      <c r="A49" s="382"/>
      <c r="B49" s="382"/>
      <c r="C49" s="382"/>
      <c r="D49" s="382"/>
      <c r="E49" s="382"/>
      <c r="F49" s="382"/>
      <c r="G49" s="382"/>
      <c r="H49" s="382"/>
      <c r="I49" s="382"/>
      <c r="J49" s="382"/>
    </row>
    <row r="50" spans="1:22">
      <c r="A50" s="382"/>
      <c r="B50" s="382"/>
      <c r="C50" s="382"/>
      <c r="D50" s="382"/>
      <c r="E50" s="382"/>
      <c r="F50" s="382"/>
      <c r="G50" s="382"/>
      <c r="H50" s="382"/>
      <c r="I50" s="382"/>
      <c r="J50" s="382"/>
      <c r="K50" s="382"/>
      <c r="R50" s="20"/>
      <c r="V50" s="19"/>
    </row>
    <row r="51" spans="1:22">
      <c r="A51" s="382"/>
      <c r="B51" s="398"/>
      <c r="C51" s="382"/>
      <c r="D51" s="382"/>
      <c r="E51" s="382"/>
      <c r="F51" s="382"/>
      <c r="G51" s="382"/>
      <c r="H51" s="382"/>
      <c r="I51" s="382"/>
      <c r="J51" s="382"/>
      <c r="K51" s="382"/>
      <c r="R51" s="20"/>
      <c r="V51" s="19"/>
    </row>
    <row r="52" spans="1:22">
      <c r="A52" s="382"/>
      <c r="B52" s="399" t="s">
        <v>158</v>
      </c>
      <c r="C52" s="382" t="s">
        <v>161</v>
      </c>
      <c r="D52" s="382" t="s">
        <v>162</v>
      </c>
      <c r="E52" s="382"/>
      <c r="F52" s="382"/>
      <c r="H52" s="382"/>
      <c r="I52" s="382"/>
      <c r="J52" s="382"/>
      <c r="K52" s="382"/>
      <c r="L52" s="382"/>
      <c r="R52" s="20"/>
      <c r="V52" s="19"/>
    </row>
    <row r="53" spans="1:22">
      <c r="A53" s="382"/>
      <c r="B53" s="400" t="s">
        <v>159</v>
      </c>
      <c r="C53" s="401" t="s">
        <v>159</v>
      </c>
      <c r="D53" s="382" t="s">
        <v>163</v>
      </c>
      <c r="E53" s="382" t="s">
        <v>160</v>
      </c>
      <c r="F53" s="399" t="s">
        <v>243</v>
      </c>
      <c r="G53" s="382" t="s">
        <v>164</v>
      </c>
      <c r="H53" s="382"/>
      <c r="I53" s="382"/>
      <c r="J53" s="382"/>
      <c r="K53" s="382"/>
      <c r="L53" s="382"/>
      <c r="R53" s="20"/>
      <c r="V53" s="19"/>
    </row>
    <row r="54" spans="1:22" ht="12">
      <c r="A54" s="382"/>
      <c r="B54" s="416">
        <v>0</v>
      </c>
      <c r="C54" s="585">
        <f>(B66*0.15)-B54</f>
        <v>-66673.480921006951</v>
      </c>
      <c r="D54" s="324">
        <f>+C54+B54</f>
        <v>-66673.480921006951</v>
      </c>
      <c r="E54" s="324">
        <v>0</v>
      </c>
      <c r="F54" s="324">
        <v>0</v>
      </c>
      <c r="G54" s="402">
        <f>+C54+E54+B54+F54</f>
        <v>-66673.480921006951</v>
      </c>
      <c r="H54" s="382"/>
      <c r="I54" s="382"/>
      <c r="J54" s="382"/>
    </row>
    <row r="55" spans="1:22">
      <c r="A55" s="382"/>
      <c r="B55" s="382"/>
      <c r="C55" s="382"/>
      <c r="D55" s="382"/>
      <c r="E55" s="382"/>
      <c r="F55" s="382"/>
      <c r="G55" s="382"/>
      <c r="H55" s="382"/>
      <c r="I55" s="382"/>
      <c r="J55" s="382"/>
    </row>
    <row r="56" spans="1:22">
      <c r="A56" s="382"/>
      <c r="B56" s="382"/>
      <c r="C56" s="382"/>
      <c r="D56" s="382"/>
      <c r="E56" s="382"/>
      <c r="F56" s="382"/>
      <c r="G56" s="382"/>
      <c r="H56" s="382"/>
      <c r="I56" s="382"/>
      <c r="J56" s="382"/>
    </row>
    <row r="57" spans="1:22" s="382" customFormat="1">
      <c r="R57" s="19"/>
      <c r="S57" s="19"/>
      <c r="T57" s="19"/>
      <c r="U57" s="19"/>
    </row>
    <row r="58" spans="1:22" s="382" customFormat="1" ht="12">
      <c r="A58" s="403" t="s">
        <v>180</v>
      </c>
      <c r="B58" s="404">
        <v>57799027</v>
      </c>
      <c r="R58" s="19"/>
      <c r="S58" s="19"/>
      <c r="T58" s="19"/>
      <c r="U58" s="19"/>
    </row>
    <row r="59" spans="1:22" s="382" customFormat="1" ht="12">
      <c r="A59" s="403" t="s">
        <v>196</v>
      </c>
      <c r="B59" s="404">
        <v>62773000</v>
      </c>
      <c r="R59" s="19"/>
      <c r="S59" s="19"/>
      <c r="T59" s="19"/>
      <c r="U59" s="19"/>
    </row>
    <row r="60" spans="1:22" s="382" customFormat="1" ht="12">
      <c r="A60" s="403" t="s">
        <v>204</v>
      </c>
      <c r="B60" s="404">
        <v>67257255</v>
      </c>
      <c r="R60" s="19"/>
      <c r="S60" s="19"/>
      <c r="T60" s="19"/>
      <c r="U60" s="19"/>
    </row>
    <row r="61" spans="1:22" s="382" customFormat="1" ht="12">
      <c r="A61" s="403" t="s">
        <v>207</v>
      </c>
      <c r="B61" s="404">
        <v>71195909</v>
      </c>
      <c r="R61" s="19"/>
      <c r="S61" s="19"/>
      <c r="T61" s="19"/>
      <c r="U61" s="19"/>
    </row>
    <row r="62" spans="1:22" s="382" customFormat="1" ht="12">
      <c r="A62" s="403" t="s">
        <v>215</v>
      </c>
      <c r="B62" s="404">
        <v>73847678</v>
      </c>
      <c r="R62" s="19"/>
      <c r="S62" s="19"/>
      <c r="T62" s="19"/>
      <c r="U62" s="19"/>
    </row>
    <row r="63" spans="1:22" s="382" customFormat="1" ht="12">
      <c r="A63" s="403" t="s">
        <v>220</v>
      </c>
      <c r="B63" s="404">
        <v>75667374</v>
      </c>
      <c r="R63" s="19"/>
      <c r="S63" s="19"/>
      <c r="T63" s="19"/>
      <c r="U63" s="19"/>
    </row>
    <row r="64" spans="1:22" s="382" customFormat="1" ht="12">
      <c r="A64" s="403" t="s">
        <v>241</v>
      </c>
      <c r="B64" s="404">
        <v>76717521</v>
      </c>
      <c r="R64" s="19"/>
      <c r="S64" s="19"/>
      <c r="T64" s="19"/>
      <c r="U64" s="19"/>
    </row>
    <row r="65" spans="1:21" s="382" customFormat="1" ht="12">
      <c r="A65" s="403" t="s">
        <v>368</v>
      </c>
      <c r="B65" s="404">
        <f>+B15</f>
        <v>76273031.127193287</v>
      </c>
      <c r="R65" s="19"/>
      <c r="S65" s="19"/>
      <c r="T65" s="19"/>
      <c r="U65" s="19"/>
    </row>
    <row r="66" spans="1:21" s="382" customFormat="1" ht="12" thickBot="1">
      <c r="A66" s="405" t="s">
        <v>242</v>
      </c>
      <c r="B66" s="406">
        <f>B65-B64</f>
        <v>-444489.87280671299</v>
      </c>
      <c r="R66" s="19"/>
      <c r="S66" s="19"/>
      <c r="T66" s="19"/>
      <c r="U66" s="19"/>
    </row>
    <row r="67" spans="1:21" s="382" customFormat="1" ht="12" thickTop="1">
      <c r="R67" s="19"/>
      <c r="S67" s="19"/>
      <c r="T67" s="19"/>
      <c r="U67" s="19"/>
    </row>
    <row r="68" spans="1:21" s="382" customFormat="1">
      <c r="B68" s="604">
        <f>B66*0.15</f>
        <v>-66673.480921006951</v>
      </c>
      <c r="C68" s="382" t="s">
        <v>186</v>
      </c>
      <c r="R68" s="19"/>
      <c r="S68" s="19"/>
      <c r="T68" s="19"/>
      <c r="U68" s="19"/>
    </row>
    <row r="69" spans="1:21" s="382" customFormat="1">
      <c r="R69" s="19"/>
      <c r="S69" s="19"/>
      <c r="T69" s="19"/>
      <c r="U69" s="19"/>
    </row>
    <row r="70" spans="1:21">
      <c r="A70" s="382"/>
      <c r="B70" s="382"/>
      <c r="C70" s="382"/>
      <c r="D70" s="382"/>
      <c r="E70" s="382"/>
      <c r="F70" s="382"/>
      <c r="G70" s="382"/>
    </row>
  </sheetData>
  <mergeCells count="7">
    <mergeCell ref="L4:M4"/>
    <mergeCell ref="J5:K5"/>
    <mergeCell ref="L5:M5"/>
    <mergeCell ref="A1:H1"/>
    <mergeCell ref="A2:H2"/>
    <mergeCell ref="A3:H3"/>
    <mergeCell ref="J4:K4"/>
  </mergeCells>
  <pageMargins left="0.75" right="0.75" top="1" bottom="1" header="0.5" footer="0.5"/>
  <pageSetup orientation="landscape" r:id="rId1"/>
  <headerFooter alignWithMargins="0">
    <oddFooter>&amp;L&amp;9&amp;D
&amp;F
&amp;A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89" zoomScaleNormal="89" workbookViewId="0">
      <selection sqref="A1:H1"/>
    </sheetView>
  </sheetViews>
  <sheetFormatPr defaultRowHeight="15"/>
  <cols>
    <col min="1" max="1" width="45.28515625" bestFit="1" customWidth="1"/>
    <col min="2" max="2" width="17.5703125" customWidth="1"/>
    <col min="3" max="3" width="16" customWidth="1"/>
    <col min="4" max="4" width="11" bestFit="1" customWidth="1"/>
  </cols>
  <sheetData>
    <row r="1" spans="1:8" ht="15.75">
      <c r="A1" s="610" t="s">
        <v>284</v>
      </c>
      <c r="B1" s="610"/>
      <c r="C1" s="610"/>
      <c r="D1" s="610"/>
      <c r="E1" s="610"/>
      <c r="F1" s="610"/>
      <c r="G1" s="610"/>
      <c r="H1" s="610"/>
    </row>
    <row r="2" spans="1:8" ht="15.75">
      <c r="A2" s="610" t="s">
        <v>351</v>
      </c>
      <c r="B2" s="610"/>
      <c r="C2" s="610"/>
      <c r="D2" s="610"/>
      <c r="E2" s="610"/>
      <c r="F2" s="610"/>
      <c r="G2" s="610"/>
      <c r="H2" s="610"/>
    </row>
    <row r="3" spans="1:8" ht="15.75">
      <c r="A3" s="610" t="s">
        <v>342</v>
      </c>
      <c r="B3" s="610"/>
      <c r="C3" s="610"/>
      <c r="D3" s="610"/>
      <c r="E3" s="610"/>
      <c r="F3" s="610"/>
      <c r="G3" s="610"/>
      <c r="H3" s="610"/>
    </row>
    <row r="5" spans="1:8">
      <c r="A5" s="505" t="s">
        <v>350</v>
      </c>
      <c r="B5" s="505"/>
    </row>
    <row r="6" spans="1:8" ht="36.75">
      <c r="A6" s="506" t="s">
        <v>29</v>
      </c>
      <c r="B6" s="508" t="s">
        <v>349</v>
      </c>
      <c r="C6" s="508" t="s">
        <v>348</v>
      </c>
      <c r="D6" s="508" t="s">
        <v>380</v>
      </c>
    </row>
    <row r="7" spans="1:8">
      <c r="A7" s="32" t="s">
        <v>11</v>
      </c>
      <c r="B7" s="514">
        <v>44526.927409272343</v>
      </c>
      <c r="C7" s="588">
        <v>48962</v>
      </c>
      <c r="D7" s="555">
        <f>+B7-C7</f>
        <v>-4435.0725907276574</v>
      </c>
    </row>
    <row r="8" spans="1:8">
      <c r="A8" s="34" t="s">
        <v>379</v>
      </c>
      <c r="B8" s="294">
        <v>387697.94939545868</v>
      </c>
      <c r="C8" s="589">
        <v>417588.29</v>
      </c>
      <c r="D8" s="295">
        <f>+B8-C8</f>
        <v>-29890.340604541299</v>
      </c>
    </row>
    <row r="9" spans="1:8" s="473" customFormat="1" hidden="1">
      <c r="A9" s="599" t="s">
        <v>14</v>
      </c>
      <c r="B9" s="600">
        <v>5555598.7208436923</v>
      </c>
      <c r="C9" s="601">
        <v>4779704.42</v>
      </c>
      <c r="D9" s="602"/>
    </row>
    <row r="10" spans="1:8" s="473" customFormat="1" hidden="1">
      <c r="A10" s="599" t="s">
        <v>347</v>
      </c>
      <c r="B10" s="600"/>
      <c r="C10" s="601">
        <v>4276</v>
      </c>
      <c r="D10" s="602"/>
    </row>
    <row r="11" spans="1:8">
      <c r="A11" s="34" t="s">
        <v>14</v>
      </c>
      <c r="B11" s="294">
        <f>B9+B10</f>
        <v>5555598.7208436923</v>
      </c>
      <c r="C11" s="589">
        <f>C9+C10</f>
        <v>4783980.42</v>
      </c>
      <c r="D11" s="295">
        <f>+B11-C11</f>
        <v>771618.30084369238</v>
      </c>
    </row>
    <row r="12" spans="1:8">
      <c r="A12" s="34" t="s">
        <v>18</v>
      </c>
      <c r="B12" s="378">
        <v>1980912.8621533117</v>
      </c>
      <c r="C12" s="590">
        <v>1436273.17</v>
      </c>
      <c r="D12" s="556">
        <f>+B12-C12</f>
        <v>544639.6921533118</v>
      </c>
    </row>
    <row r="13" spans="1:8">
      <c r="A13" s="507" t="s">
        <v>285</v>
      </c>
      <c r="B13" s="511">
        <f>B7+B8+B11+B12</f>
        <v>7968736.4598017354</v>
      </c>
      <c r="C13" s="511">
        <f>C7+C8+C11+C12</f>
        <v>6686803.8799999999</v>
      </c>
      <c r="D13" s="591">
        <f>SUM(D7:D12)</f>
        <v>1281932.5798017352</v>
      </c>
    </row>
  </sheetData>
  <mergeCells count="3">
    <mergeCell ref="A1:H1"/>
    <mergeCell ref="A2:H2"/>
    <mergeCell ref="A3:H3"/>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K203"/>
  <sheetViews>
    <sheetView zoomScaleNormal="100" workbookViewId="0">
      <selection sqref="A1:K1"/>
    </sheetView>
  </sheetViews>
  <sheetFormatPr defaultRowHeight="12.75"/>
  <cols>
    <col min="1" max="1" width="7.140625" style="114" bestFit="1" customWidth="1"/>
    <col min="2" max="2" width="42.42578125" style="114" bestFit="1" customWidth="1"/>
    <col min="3" max="4" width="13.140625" style="114" customWidth="1"/>
    <col min="5" max="5" width="13.42578125" style="114" bestFit="1" customWidth="1"/>
    <col min="6" max="6" width="12.28515625" style="114" customWidth="1"/>
    <col min="7" max="8" width="13.42578125" style="114" bestFit="1" customWidth="1"/>
    <col min="9" max="10" width="14" style="114" bestFit="1" customWidth="1"/>
    <col min="11" max="11" width="12.85546875" style="114" bestFit="1" customWidth="1"/>
    <col min="12" max="16384" width="9.140625" style="114"/>
  </cols>
  <sheetData>
    <row r="1" spans="1:11" ht="18">
      <c r="A1" s="624" t="s">
        <v>352</v>
      </c>
      <c r="B1" s="624"/>
      <c r="C1" s="624"/>
      <c r="D1" s="624"/>
      <c r="E1" s="624"/>
      <c r="F1" s="624"/>
      <c r="G1" s="624"/>
      <c r="H1" s="624"/>
      <c r="I1" s="624"/>
      <c r="J1" s="624"/>
      <c r="K1" s="624"/>
    </row>
    <row r="2" spans="1:11" ht="15" customHeight="1">
      <c r="A2" s="625" t="s">
        <v>154</v>
      </c>
      <c r="B2" s="625"/>
      <c r="C2" s="625"/>
      <c r="D2" s="625"/>
      <c r="E2" s="625"/>
      <c r="F2" s="625"/>
      <c r="G2" s="625"/>
      <c r="H2" s="625"/>
      <c r="I2" s="625"/>
      <c r="J2" s="625"/>
      <c r="K2" s="625"/>
    </row>
    <row r="3" spans="1:11" ht="15">
      <c r="E3" s="228"/>
      <c r="F3" s="228"/>
      <c r="G3" s="228"/>
      <c r="H3" s="228"/>
    </row>
    <row r="4" spans="1:11" ht="15">
      <c r="B4" s="239"/>
      <c r="C4" s="241"/>
      <c r="D4" s="116"/>
      <c r="E4" s="116"/>
      <c r="F4" s="116"/>
    </row>
    <row r="5" spans="1:11">
      <c r="C5" s="622"/>
      <c r="D5" s="622"/>
      <c r="E5" s="622"/>
      <c r="F5" s="622"/>
    </row>
    <row r="6" spans="1:11" ht="13.5" thickBot="1">
      <c r="B6" s="117"/>
      <c r="C6" s="118"/>
      <c r="D6" s="119"/>
      <c r="E6" s="120"/>
      <c r="F6" s="119"/>
      <c r="G6" s="123"/>
      <c r="H6" s="123"/>
      <c r="I6" s="213"/>
    </row>
    <row r="7" spans="1:11" ht="13.5" thickTop="1">
      <c r="B7" s="125"/>
      <c r="C7" s="126"/>
      <c r="D7" s="127" t="s">
        <v>88</v>
      </c>
      <c r="E7" s="128" t="s">
        <v>9</v>
      </c>
      <c r="F7" s="129" t="s">
        <v>153</v>
      </c>
      <c r="G7" s="132" t="s">
        <v>318</v>
      </c>
      <c r="H7" s="214" t="s">
        <v>232</v>
      </c>
      <c r="I7" s="214" t="s">
        <v>318</v>
      </c>
    </row>
    <row r="8" spans="1:11">
      <c r="B8" s="125"/>
      <c r="C8" s="126" t="s">
        <v>26</v>
      </c>
      <c r="D8" s="127" t="s">
        <v>150</v>
      </c>
      <c r="E8" s="128" t="s">
        <v>152</v>
      </c>
      <c r="F8" s="129" t="s">
        <v>9</v>
      </c>
      <c r="G8" s="135" t="s">
        <v>83</v>
      </c>
      <c r="H8" s="135" t="s">
        <v>83</v>
      </c>
      <c r="I8" s="215" t="s">
        <v>83</v>
      </c>
    </row>
    <row r="9" spans="1:11">
      <c r="A9" s="137" t="s">
        <v>84</v>
      </c>
      <c r="B9" s="138"/>
      <c r="C9" s="139" t="s">
        <v>48</v>
      </c>
      <c r="D9" s="313" t="s">
        <v>151</v>
      </c>
      <c r="E9" s="141" t="s">
        <v>150</v>
      </c>
      <c r="F9" s="142" t="s">
        <v>144</v>
      </c>
      <c r="G9" s="145" t="s">
        <v>51</v>
      </c>
      <c r="H9" s="145" t="s">
        <v>248</v>
      </c>
      <c r="I9" s="216" t="s">
        <v>131</v>
      </c>
    </row>
    <row r="10" spans="1:11">
      <c r="A10" s="147" t="s">
        <v>37</v>
      </c>
      <c r="B10" s="21" t="s">
        <v>90</v>
      </c>
      <c r="C10" s="528">
        <v>562793.89599999995</v>
      </c>
      <c r="D10" s="529">
        <v>56279.389600000002</v>
      </c>
      <c r="E10" s="388"/>
      <c r="F10" s="389">
        <f>C10-D10-E10</f>
        <v>506514.50639999995</v>
      </c>
      <c r="G10" s="427">
        <f>+F10</f>
        <v>506514.50639999995</v>
      </c>
      <c r="H10" s="427">
        <v>498537.9</v>
      </c>
      <c r="I10" s="428">
        <f>G10-H10</f>
        <v>7976.6063999999315</v>
      </c>
    </row>
    <row r="11" spans="1:11">
      <c r="A11" s="157" t="s">
        <v>38</v>
      </c>
      <c r="B11" s="21" t="s">
        <v>381</v>
      </c>
      <c r="C11" s="530">
        <v>373830.10189999989</v>
      </c>
      <c r="D11" s="531">
        <v>34326.286655002412</v>
      </c>
      <c r="E11" s="390"/>
      <c r="F11" s="391">
        <f t="shared" ref="F11:F20" si="0">C11-D11-E11</f>
        <v>339503.8152449975</v>
      </c>
      <c r="G11" s="429">
        <f t="shared" ref="G11:G26" si="1">+F11</f>
        <v>339503.8152449975</v>
      </c>
      <c r="H11" s="429">
        <v>334586.86623741616</v>
      </c>
      <c r="I11" s="430">
        <f t="shared" ref="I11:I26" si="2">G11-H11</f>
        <v>4916.9490075813374</v>
      </c>
    </row>
    <row r="12" spans="1:11">
      <c r="A12" s="157" t="s">
        <v>39</v>
      </c>
      <c r="B12" s="21" t="s">
        <v>92</v>
      </c>
      <c r="C12" s="530">
        <v>1499888.6943999999</v>
      </c>
      <c r="D12" s="531">
        <v>149988.86943999998</v>
      </c>
      <c r="E12" s="390"/>
      <c r="F12" s="391">
        <f t="shared" si="0"/>
        <v>1349899.8249599999</v>
      </c>
      <c r="G12" s="429">
        <f t="shared" si="1"/>
        <v>1349899.8249599999</v>
      </c>
      <c r="H12" s="429">
        <v>1328641.56</v>
      </c>
      <c r="I12" s="430">
        <f t="shared" si="2"/>
        <v>21258.264959999826</v>
      </c>
    </row>
    <row r="13" spans="1:11">
      <c r="A13" s="157" t="s">
        <v>40</v>
      </c>
      <c r="B13" s="21" t="s">
        <v>93</v>
      </c>
      <c r="C13" s="530">
        <v>15639732.851300001</v>
      </c>
      <c r="D13" s="531">
        <v>1290921.236466968</v>
      </c>
      <c r="E13" s="390"/>
      <c r="F13" s="391">
        <f t="shared" si="0"/>
        <v>14348811.614833033</v>
      </c>
      <c r="G13" s="429">
        <f t="shared" si="1"/>
        <v>14348811.614833033</v>
      </c>
      <c r="H13" s="429">
        <v>14172075.540819161</v>
      </c>
      <c r="I13" s="430">
        <f t="shared" si="2"/>
        <v>176736.07401387207</v>
      </c>
    </row>
    <row r="14" spans="1:11">
      <c r="A14" s="157" t="s">
        <v>41</v>
      </c>
      <c r="B14" s="21" t="s">
        <v>94</v>
      </c>
      <c r="C14" s="530">
        <v>6387023.8031099997</v>
      </c>
      <c r="D14" s="531">
        <v>547987.16489264008</v>
      </c>
      <c r="E14" s="390"/>
      <c r="F14" s="391">
        <f t="shared" si="0"/>
        <v>5839036.6382173598</v>
      </c>
      <c r="G14" s="429">
        <f t="shared" si="1"/>
        <v>5839036.6382173598</v>
      </c>
      <c r="H14" s="429">
        <v>5525627.3389965678</v>
      </c>
      <c r="I14" s="430">
        <f t="shared" si="2"/>
        <v>313409.29922079202</v>
      </c>
    </row>
    <row r="15" spans="1:11">
      <c r="A15" s="157" t="s">
        <v>95</v>
      </c>
      <c r="B15" s="21" t="s">
        <v>96</v>
      </c>
      <c r="C15" s="530">
        <v>290339.21099999995</v>
      </c>
      <c r="D15" s="531">
        <v>28149.577303768787</v>
      </c>
      <c r="E15" s="390"/>
      <c r="F15" s="391">
        <f t="shared" si="0"/>
        <v>262189.63369623118</v>
      </c>
      <c r="G15" s="429">
        <f t="shared" si="1"/>
        <v>262189.63369623118</v>
      </c>
      <c r="H15" s="429">
        <v>258192.68423424943</v>
      </c>
      <c r="I15" s="430">
        <f t="shared" si="2"/>
        <v>3996.9494619817415</v>
      </c>
    </row>
    <row r="16" spans="1:11">
      <c r="A16" s="157" t="s">
        <v>97</v>
      </c>
      <c r="B16" s="21" t="s">
        <v>98</v>
      </c>
      <c r="C16" s="530"/>
      <c r="D16" s="531"/>
      <c r="E16" s="390"/>
      <c r="F16" s="391">
        <f t="shared" si="0"/>
        <v>0</v>
      </c>
      <c r="G16" s="429">
        <f t="shared" si="1"/>
        <v>0</v>
      </c>
      <c r="H16" s="429">
        <v>0</v>
      </c>
      <c r="I16" s="430">
        <f t="shared" si="2"/>
        <v>0</v>
      </c>
    </row>
    <row r="17" spans="1:10">
      <c r="A17" s="157" t="s">
        <v>42</v>
      </c>
      <c r="B17" s="21" t="s">
        <v>99</v>
      </c>
      <c r="C17" s="530">
        <v>2347633.5186000001</v>
      </c>
      <c r="D17" s="531">
        <v>231745.77001836634</v>
      </c>
      <c r="E17" s="390"/>
      <c r="F17" s="391">
        <f>C17-D17-E17</f>
        <v>2115887.7485816339</v>
      </c>
      <c r="G17" s="429">
        <f t="shared" si="1"/>
        <v>2115887.7485816339</v>
      </c>
      <c r="H17" s="429">
        <v>2083169.8020400035</v>
      </c>
      <c r="I17" s="430">
        <f t="shared" si="2"/>
        <v>32717.94654163043</v>
      </c>
      <c r="J17" s="557" t="s">
        <v>245</v>
      </c>
    </row>
    <row r="18" spans="1:10">
      <c r="A18" s="157" t="s">
        <v>100</v>
      </c>
      <c r="B18" s="21" t="s">
        <v>101</v>
      </c>
      <c r="C18" s="530"/>
      <c r="D18" s="531"/>
      <c r="E18" s="390"/>
      <c r="F18" s="391">
        <f t="shared" si="0"/>
        <v>0</v>
      </c>
      <c r="G18" s="429">
        <f t="shared" si="1"/>
        <v>0</v>
      </c>
      <c r="H18" s="429">
        <v>0</v>
      </c>
      <c r="I18" s="430">
        <f t="shared" si="2"/>
        <v>0</v>
      </c>
    </row>
    <row r="19" spans="1:10">
      <c r="A19" s="157" t="s">
        <v>43</v>
      </c>
      <c r="B19" s="21" t="s">
        <v>102</v>
      </c>
      <c r="C19" s="530">
        <v>1027421.48232</v>
      </c>
      <c r="D19" s="531">
        <v>101345.28731843244</v>
      </c>
      <c r="E19" s="390"/>
      <c r="F19" s="391">
        <f t="shared" si="0"/>
        <v>926076.19500156748</v>
      </c>
      <c r="G19" s="429">
        <f t="shared" si="1"/>
        <v>926076.19500156748</v>
      </c>
      <c r="H19" s="429">
        <v>911658.69886028673</v>
      </c>
      <c r="I19" s="430">
        <f t="shared" si="2"/>
        <v>14417.496141280746</v>
      </c>
    </row>
    <row r="20" spans="1:10">
      <c r="A20" s="157" t="s">
        <v>103</v>
      </c>
      <c r="B20" s="21" t="s">
        <v>104</v>
      </c>
      <c r="C20" s="530">
        <v>3172.9679999999998</v>
      </c>
      <c r="D20" s="531">
        <v>317.29680000000002</v>
      </c>
      <c r="E20" s="390"/>
      <c r="F20" s="391">
        <f t="shared" si="0"/>
        <v>2855.6711999999998</v>
      </c>
      <c r="G20" s="429">
        <f t="shared" si="1"/>
        <v>2855.6711999999998</v>
      </c>
      <c r="H20" s="429">
        <v>2810.7</v>
      </c>
      <c r="I20" s="430">
        <f t="shared" si="2"/>
        <v>44.971199999999953</v>
      </c>
    </row>
    <row r="21" spans="1:10">
      <c r="A21" s="157" t="s">
        <v>105</v>
      </c>
      <c r="B21" s="21" t="s">
        <v>106</v>
      </c>
      <c r="C21" s="530"/>
      <c r="D21" s="531"/>
      <c r="E21" s="390"/>
      <c r="F21" s="391">
        <f t="shared" ref="F21:F26" si="3">C21-D21-E21</f>
        <v>0</v>
      </c>
      <c r="G21" s="429">
        <f t="shared" si="1"/>
        <v>0</v>
      </c>
      <c r="H21" s="429">
        <v>0</v>
      </c>
      <c r="I21" s="430">
        <f t="shared" si="2"/>
        <v>0</v>
      </c>
    </row>
    <row r="22" spans="1:10">
      <c r="A22" s="157" t="s">
        <v>107</v>
      </c>
      <c r="B22" s="21" t="s">
        <v>108</v>
      </c>
      <c r="C22" s="530"/>
      <c r="D22" s="531"/>
      <c r="E22" s="390"/>
      <c r="F22" s="391">
        <f t="shared" si="3"/>
        <v>0</v>
      </c>
      <c r="G22" s="429">
        <f t="shared" si="1"/>
        <v>0</v>
      </c>
      <c r="H22" s="429">
        <v>0</v>
      </c>
      <c r="I22" s="430">
        <f t="shared" si="2"/>
        <v>0</v>
      </c>
    </row>
    <row r="23" spans="1:10">
      <c r="A23" s="157" t="s">
        <v>44</v>
      </c>
      <c r="B23" s="314" t="s">
        <v>109</v>
      </c>
      <c r="C23" s="530">
        <v>3304524</v>
      </c>
      <c r="D23" s="531">
        <v>241570</v>
      </c>
      <c r="E23" s="390"/>
      <c r="F23" s="391">
        <f t="shared" si="3"/>
        <v>3062954</v>
      </c>
      <c r="G23" s="429">
        <f t="shared" si="1"/>
        <v>3062954</v>
      </c>
      <c r="H23" s="429">
        <v>3523510.3231604481</v>
      </c>
      <c r="I23" s="430">
        <f t="shared" si="2"/>
        <v>-460556.32316044811</v>
      </c>
    </row>
    <row r="24" spans="1:10">
      <c r="A24" s="157" t="s">
        <v>45</v>
      </c>
      <c r="B24" s="314" t="s">
        <v>110</v>
      </c>
      <c r="C24" s="530">
        <v>2386554.9700000002</v>
      </c>
      <c r="D24" s="531">
        <v>118101.0968</v>
      </c>
      <c r="E24" s="390"/>
      <c r="F24" s="391">
        <f t="shared" si="3"/>
        <v>2268453.8732000003</v>
      </c>
      <c r="G24" s="429">
        <f t="shared" si="1"/>
        <v>2268453.8732000003</v>
      </c>
      <c r="H24" s="429">
        <v>1973745.9373417075</v>
      </c>
      <c r="I24" s="430">
        <f t="shared" si="2"/>
        <v>294707.93585829274</v>
      </c>
    </row>
    <row r="25" spans="1:10">
      <c r="A25" s="163" t="s">
        <v>46</v>
      </c>
      <c r="B25" s="314" t="s">
        <v>212</v>
      </c>
      <c r="C25" s="530"/>
      <c r="D25" s="531"/>
      <c r="E25" s="390"/>
      <c r="F25" s="391">
        <f t="shared" si="3"/>
        <v>0</v>
      </c>
      <c r="G25" s="429">
        <f t="shared" si="1"/>
        <v>0</v>
      </c>
      <c r="H25" s="429">
        <v>0</v>
      </c>
      <c r="I25" s="430">
        <f t="shared" si="2"/>
        <v>0</v>
      </c>
    </row>
    <row r="26" spans="1:10">
      <c r="A26" s="157" t="s">
        <v>47</v>
      </c>
      <c r="B26" s="314" t="s">
        <v>288</v>
      </c>
      <c r="C26" s="530">
        <v>7359909</v>
      </c>
      <c r="D26" s="531">
        <v>729381</v>
      </c>
      <c r="E26" s="390"/>
      <c r="F26" s="391">
        <f t="shared" si="3"/>
        <v>6630528</v>
      </c>
      <c r="G26" s="429">
        <f t="shared" si="1"/>
        <v>6630528</v>
      </c>
      <c r="H26" s="429">
        <v>5167338.2942201886</v>
      </c>
      <c r="I26" s="430">
        <f t="shared" si="2"/>
        <v>1463189.7057798114</v>
      </c>
    </row>
    <row r="27" spans="1:10">
      <c r="A27" s="165"/>
      <c r="B27" s="166" t="s">
        <v>113</v>
      </c>
      <c r="C27" s="236">
        <f>SUM(C10:C26)</f>
        <v>41182824.496629998</v>
      </c>
      <c r="D27" s="237">
        <f t="shared" ref="D27:I27" si="4">SUM(D10:D26)</f>
        <v>3530112.9752951777</v>
      </c>
      <c r="E27" s="237">
        <f>SUM(E10:E26)</f>
        <v>0</v>
      </c>
      <c r="F27" s="238">
        <f t="shared" si="4"/>
        <v>37652711.521334827</v>
      </c>
      <c r="G27" s="431">
        <f t="shared" si="4"/>
        <v>37652711.521334827</v>
      </c>
      <c r="H27" s="431">
        <f t="shared" si="4"/>
        <v>35779895.645910032</v>
      </c>
      <c r="I27" s="432">
        <f t="shared" si="4"/>
        <v>1872815.8754247942</v>
      </c>
    </row>
    <row r="28" spans="1:10">
      <c r="C28" s="623"/>
      <c r="D28" s="623"/>
      <c r="E28" s="623"/>
      <c r="F28" s="623"/>
    </row>
    <row r="29" spans="1:10">
      <c r="A29" s="239"/>
      <c r="B29" s="239"/>
      <c r="C29" s="584"/>
      <c r="D29" s="239"/>
      <c r="E29" s="240"/>
      <c r="F29" s="240"/>
      <c r="G29" s="240"/>
      <c r="H29" s="321"/>
      <c r="I29" s="392"/>
      <c r="J29" s="176"/>
    </row>
    <row r="30" spans="1:10" s="117" customFormat="1">
      <c r="A30" s="194"/>
      <c r="B30" s="188"/>
      <c r="C30" s="350"/>
      <c r="D30" s="350"/>
      <c r="E30" s="350"/>
      <c r="F30" s="240"/>
      <c r="G30" s="188"/>
      <c r="I30" s="322"/>
    </row>
    <row r="31" spans="1:10" s="117" customFormat="1">
      <c r="A31" s="191"/>
      <c r="B31" s="191"/>
      <c r="C31" s="191"/>
      <c r="D31" s="191"/>
      <c r="E31" s="191"/>
      <c r="F31" s="240"/>
      <c r="G31" s="364"/>
      <c r="H31" s="350"/>
      <c r="I31" s="322"/>
    </row>
    <row r="32" spans="1:10" s="117" customFormat="1">
      <c r="A32" s="188"/>
      <c r="B32" s="188"/>
      <c r="C32" s="350"/>
      <c r="D32" s="188"/>
      <c r="E32" s="188"/>
      <c r="F32" s="240"/>
      <c r="G32" s="188"/>
      <c r="H32" s="350"/>
      <c r="I32" s="322"/>
    </row>
    <row r="33" spans="1:8" s="117" customFormat="1">
      <c r="A33" s="194"/>
      <c r="B33" s="188"/>
      <c r="C33" s="188"/>
      <c r="D33" s="188"/>
      <c r="E33" s="187"/>
      <c r="F33" s="240"/>
      <c r="G33" s="187"/>
      <c r="H33" s="187"/>
    </row>
    <row r="34" spans="1:8" s="117" customFormat="1">
      <c r="A34" s="188"/>
      <c r="B34" s="188"/>
      <c r="C34" s="188"/>
      <c r="D34" s="188"/>
      <c r="E34" s="188"/>
      <c r="F34" s="240"/>
      <c r="G34" s="185"/>
      <c r="H34" s="188"/>
    </row>
    <row r="35" spans="1:8" s="117" customFormat="1">
      <c r="A35" s="188"/>
      <c r="B35" s="188"/>
      <c r="C35" s="188"/>
      <c r="D35" s="188"/>
      <c r="E35" s="350"/>
      <c r="F35" s="240"/>
      <c r="G35" s="188"/>
      <c r="H35" s="188"/>
    </row>
    <row r="36" spans="1:8" s="117" customFormat="1">
      <c r="A36" s="188"/>
      <c r="B36" s="188"/>
      <c r="C36" s="188"/>
      <c r="D36" s="188"/>
      <c r="E36" s="188"/>
      <c r="F36" s="240"/>
      <c r="G36" s="188"/>
      <c r="H36" s="188"/>
    </row>
    <row r="37" spans="1:8" s="117" customFormat="1">
      <c r="A37" s="194"/>
      <c r="B37" s="194"/>
      <c r="C37" s="194"/>
      <c r="D37" s="194"/>
      <c r="E37" s="188"/>
      <c r="F37" s="240"/>
      <c r="G37" s="188"/>
      <c r="H37" s="188"/>
    </row>
    <row r="38" spans="1:8" s="117" customFormat="1">
      <c r="A38" s="194"/>
      <c r="B38" s="194"/>
      <c r="C38" s="194"/>
      <c r="D38" s="194"/>
      <c r="E38" s="387"/>
      <c r="F38" s="240"/>
      <c r="G38" s="188"/>
      <c r="H38" s="188"/>
    </row>
    <row r="39" spans="1:8" s="117" customFormat="1">
      <c r="A39" s="194"/>
      <c r="B39" s="194"/>
      <c r="C39" s="194"/>
      <c r="D39" s="194"/>
      <c r="E39" s="387"/>
      <c r="F39" s="240"/>
      <c r="G39" s="188"/>
      <c r="H39" s="188"/>
    </row>
    <row r="40" spans="1:8" s="117" customFormat="1">
      <c r="A40" s="194"/>
      <c r="B40" s="194"/>
      <c r="C40" s="194"/>
      <c r="D40" s="194"/>
      <c r="E40" s="188"/>
      <c r="F40" s="188"/>
      <c r="G40" s="188"/>
      <c r="H40" s="188"/>
    </row>
    <row r="41" spans="1:8" s="117" customFormat="1">
      <c r="A41" s="194"/>
      <c r="B41" s="194"/>
      <c r="C41" s="194"/>
      <c r="D41" s="194"/>
      <c r="E41" s="188"/>
      <c r="F41" s="188"/>
      <c r="G41" s="188"/>
      <c r="H41" s="188"/>
    </row>
    <row r="42" spans="1:8" s="117" customFormat="1">
      <c r="A42" s="194"/>
      <c r="B42" s="194"/>
      <c r="C42" s="194"/>
      <c r="D42" s="194"/>
      <c r="E42" s="188"/>
      <c r="F42" s="188"/>
      <c r="G42" s="188"/>
      <c r="H42" s="188"/>
    </row>
    <row r="43" spans="1:8" s="117" customFormat="1">
      <c r="A43" s="194"/>
      <c r="B43" s="194"/>
      <c r="C43" s="194"/>
      <c r="D43" s="194"/>
      <c r="E43" s="188"/>
      <c r="F43" s="188"/>
      <c r="G43" s="188"/>
      <c r="H43" s="188"/>
    </row>
    <row r="44" spans="1:8" s="117" customFormat="1">
      <c r="E44" s="174"/>
      <c r="F44" s="174"/>
      <c r="G44" s="174"/>
      <c r="H44" s="174"/>
    </row>
    <row r="45" spans="1:8" s="117" customFormat="1">
      <c r="E45" s="174"/>
      <c r="F45" s="174"/>
      <c r="G45" s="174"/>
      <c r="H45" s="174"/>
    </row>
    <row r="46" spans="1:8" s="117" customFormat="1">
      <c r="A46" s="191"/>
      <c r="B46" s="191"/>
      <c r="C46" s="191"/>
      <c r="D46" s="191"/>
      <c r="E46" s="191"/>
      <c r="F46" s="191"/>
      <c r="G46" s="191"/>
      <c r="H46" s="188"/>
    </row>
    <row r="47" spans="1:8" s="117" customFormat="1">
      <c r="A47" s="191"/>
      <c r="B47" s="191"/>
      <c r="C47" s="191"/>
      <c r="D47" s="191"/>
      <c r="E47" s="191"/>
      <c r="F47" s="191"/>
      <c r="G47" s="191"/>
      <c r="H47" s="188"/>
    </row>
    <row r="48" spans="1:8" s="117" customFormat="1">
      <c r="A48" s="191"/>
      <c r="B48" s="191"/>
      <c r="C48" s="191"/>
      <c r="D48" s="191"/>
      <c r="E48" s="191"/>
      <c r="F48" s="191"/>
      <c r="G48" s="191"/>
      <c r="H48" s="188"/>
    </row>
    <row r="49" spans="1:8" s="117" customFormat="1">
      <c r="A49" s="188"/>
      <c r="B49" s="188"/>
      <c r="C49" s="188"/>
      <c r="D49" s="188"/>
      <c r="E49" s="188"/>
      <c r="F49" s="188"/>
      <c r="G49" s="188"/>
      <c r="H49" s="188"/>
    </row>
    <row r="50" spans="1:8" s="117" customFormat="1">
      <c r="A50" s="194"/>
      <c r="B50" s="188"/>
      <c r="C50" s="188"/>
      <c r="D50" s="188"/>
      <c r="E50" s="187"/>
      <c r="F50" s="187"/>
      <c r="G50" s="187"/>
      <c r="H50" s="187"/>
    </row>
    <row r="51" spans="1:8" s="117" customFormat="1">
      <c r="A51" s="188"/>
      <c r="B51" s="188"/>
      <c r="C51" s="188"/>
      <c r="D51" s="188"/>
      <c r="E51" s="188"/>
      <c r="F51" s="188"/>
      <c r="G51" s="188"/>
      <c r="H51" s="188"/>
    </row>
    <row r="52" spans="1:8" s="117" customFormat="1">
      <c r="A52" s="188"/>
      <c r="B52" s="188"/>
      <c r="C52" s="188"/>
      <c r="D52" s="188"/>
      <c r="E52" s="188"/>
      <c r="F52" s="188"/>
      <c r="G52" s="188"/>
      <c r="H52" s="188"/>
    </row>
    <row r="53" spans="1:8" s="117" customFormat="1">
      <c r="A53" s="188"/>
      <c r="B53" s="188"/>
      <c r="C53" s="188"/>
      <c r="D53" s="188"/>
      <c r="E53" s="188"/>
      <c r="F53" s="188"/>
      <c r="G53" s="188"/>
      <c r="H53" s="188"/>
    </row>
    <row r="54" spans="1:8" s="117" customFormat="1">
      <c r="A54" s="194"/>
      <c r="B54" s="194"/>
      <c r="C54" s="194"/>
      <c r="D54" s="194"/>
      <c r="E54" s="188"/>
      <c r="F54" s="188"/>
      <c r="G54" s="188"/>
      <c r="H54" s="188"/>
    </row>
    <row r="55" spans="1:8" s="117" customFormat="1">
      <c r="A55" s="194"/>
      <c r="B55" s="194"/>
      <c r="C55" s="194"/>
      <c r="D55" s="194"/>
      <c r="E55" s="188"/>
      <c r="F55" s="188"/>
      <c r="G55" s="188"/>
      <c r="H55" s="188"/>
    </row>
    <row r="56" spans="1:8" s="117" customFormat="1">
      <c r="A56" s="194"/>
      <c r="B56" s="194"/>
      <c r="C56" s="194"/>
      <c r="D56" s="194"/>
      <c r="E56" s="188"/>
      <c r="F56" s="188"/>
      <c r="G56" s="188"/>
      <c r="H56" s="188"/>
    </row>
    <row r="57" spans="1:8" s="117" customFormat="1">
      <c r="A57" s="194"/>
      <c r="B57" s="194"/>
      <c r="C57" s="194"/>
      <c r="D57" s="194"/>
      <c r="E57" s="188"/>
      <c r="F57" s="188"/>
      <c r="G57" s="188"/>
      <c r="H57" s="188"/>
    </row>
    <row r="58" spans="1:8" s="117" customFormat="1">
      <c r="A58" s="194"/>
      <c r="B58" s="194"/>
      <c r="C58" s="194"/>
      <c r="D58" s="194"/>
      <c r="E58" s="188"/>
      <c r="F58" s="188"/>
      <c r="G58" s="188"/>
      <c r="H58" s="188"/>
    </row>
    <row r="59" spans="1:8" s="117" customFormat="1">
      <c r="A59" s="194"/>
      <c r="B59" s="194"/>
      <c r="C59" s="194"/>
      <c r="D59" s="194"/>
      <c r="E59" s="188"/>
      <c r="F59" s="188"/>
      <c r="G59" s="188"/>
      <c r="H59" s="188"/>
    </row>
    <row r="60" spans="1:8" s="117" customFormat="1">
      <c r="A60" s="194"/>
      <c r="B60" s="194"/>
      <c r="C60" s="194"/>
      <c r="D60" s="194"/>
      <c r="E60" s="188"/>
      <c r="F60" s="188"/>
      <c r="G60" s="188"/>
      <c r="H60" s="188"/>
    </row>
    <row r="61" spans="1:8" s="117" customFormat="1">
      <c r="E61" s="174"/>
      <c r="F61" s="174"/>
      <c r="G61" s="174"/>
      <c r="H61" s="174"/>
    </row>
    <row r="62" spans="1:8" s="117" customFormat="1">
      <c r="B62" s="196"/>
      <c r="C62" s="196"/>
      <c r="D62" s="196"/>
      <c r="E62" s="174"/>
      <c r="F62" s="174"/>
      <c r="G62" s="174"/>
      <c r="H62" s="174"/>
    </row>
    <row r="63" spans="1:8" s="117" customFormat="1">
      <c r="B63" s="196"/>
      <c r="C63" s="196"/>
      <c r="D63" s="196"/>
      <c r="E63" s="174"/>
      <c r="F63" s="174"/>
      <c r="G63" s="174"/>
      <c r="H63" s="174"/>
    </row>
    <row r="64" spans="1:8" s="117" customFormat="1">
      <c r="E64" s="174"/>
      <c r="F64" s="174"/>
      <c r="G64" s="174"/>
      <c r="H64" s="174"/>
    </row>
    <row r="65" spans="2:8" s="117" customFormat="1">
      <c r="E65" s="174"/>
      <c r="F65" s="174"/>
      <c r="G65" s="174"/>
      <c r="H65" s="174"/>
    </row>
    <row r="66" spans="2:8" s="117" customFormat="1">
      <c r="E66" s="174"/>
      <c r="F66" s="174"/>
      <c r="G66" s="174"/>
      <c r="H66" s="174"/>
    </row>
    <row r="67" spans="2:8" s="117" customFormat="1">
      <c r="E67" s="174"/>
      <c r="F67" s="174"/>
      <c r="G67" s="174"/>
      <c r="H67" s="174"/>
    </row>
    <row r="68" spans="2:8" s="117" customFormat="1">
      <c r="E68" s="174"/>
      <c r="F68" s="174"/>
      <c r="G68" s="174"/>
      <c r="H68" s="174"/>
    </row>
    <row r="69" spans="2:8" s="117" customFormat="1">
      <c r="E69" s="174"/>
      <c r="F69" s="174"/>
      <c r="G69" s="174"/>
      <c r="H69" s="174"/>
    </row>
    <row r="70" spans="2:8" s="117" customFormat="1">
      <c r="E70" s="174"/>
      <c r="F70" s="174"/>
      <c r="G70" s="174"/>
      <c r="H70" s="174"/>
    </row>
    <row r="71" spans="2:8" s="117" customFormat="1">
      <c r="E71" s="197"/>
      <c r="F71" s="197"/>
      <c r="G71" s="198"/>
      <c r="H71" s="199"/>
    </row>
    <row r="72" spans="2:8" s="117" customFormat="1" ht="15">
      <c r="E72" s="154"/>
      <c r="F72" s="154"/>
      <c r="G72" s="190"/>
      <c r="H72" s="154"/>
    </row>
    <row r="73" spans="2:8" s="117" customFormat="1">
      <c r="E73" s="190"/>
      <c r="F73" s="190"/>
      <c r="G73" s="190"/>
      <c r="H73" s="190"/>
    </row>
    <row r="74" spans="2:8" s="117" customFormat="1" ht="15">
      <c r="E74" s="154"/>
      <c r="F74" s="154"/>
      <c r="G74" s="154"/>
      <c r="H74" s="154"/>
    </row>
    <row r="75" spans="2:8" s="117" customFormat="1"/>
    <row r="76" spans="2:8" s="117" customFormat="1" ht="15">
      <c r="B76" s="202"/>
      <c r="C76" s="202"/>
      <c r="D76" s="202"/>
      <c r="E76" s="203"/>
      <c r="F76" s="203"/>
      <c r="G76" s="204"/>
      <c r="H76" s="203"/>
    </row>
    <row r="77" spans="2:8" s="117" customFormat="1">
      <c r="B77" s="202"/>
      <c r="C77" s="202"/>
      <c r="D77" s="202"/>
      <c r="E77" s="206"/>
      <c r="F77" s="206"/>
      <c r="G77" s="206"/>
      <c r="H77" s="206"/>
    </row>
    <row r="78" spans="2:8" s="117" customFormat="1">
      <c r="B78" s="207"/>
      <c r="C78" s="207"/>
      <c r="D78" s="207"/>
      <c r="E78" s="206"/>
      <c r="F78" s="206"/>
      <c r="G78" s="206"/>
      <c r="H78" s="206"/>
    </row>
    <row r="79" spans="2:8" s="117" customFormat="1">
      <c r="B79" s="202"/>
      <c r="C79" s="202"/>
      <c r="D79" s="202"/>
      <c r="E79" s="208"/>
      <c r="F79" s="208"/>
      <c r="G79" s="208"/>
      <c r="H79" s="208"/>
    </row>
    <row r="80" spans="2:8" s="117" customFormat="1">
      <c r="E80" s="188"/>
      <c r="F80" s="188"/>
      <c r="G80" s="188"/>
      <c r="H80" s="188"/>
    </row>
    <row r="81" spans="1:8" s="117" customFormat="1">
      <c r="E81" s="209"/>
      <c r="F81" s="209"/>
      <c r="G81" s="159"/>
      <c r="H81" s="209"/>
    </row>
    <row r="82" spans="1:8" s="117" customFormat="1">
      <c r="E82" s="209"/>
      <c r="F82" s="209"/>
      <c r="G82" s="159"/>
      <c r="H82" s="209"/>
    </row>
    <row r="83" spans="1:8" s="117" customFormat="1">
      <c r="E83" s="209"/>
      <c r="F83" s="209"/>
      <c r="G83" s="209"/>
      <c r="H83" s="209"/>
    </row>
    <row r="84" spans="1:8" s="117" customFormat="1"/>
    <row r="85" spans="1:8" s="117" customFormat="1">
      <c r="E85" s="190"/>
      <c r="F85" s="190"/>
      <c r="G85" s="190"/>
      <c r="H85" s="190"/>
    </row>
    <row r="86" spans="1:8" s="117" customFormat="1" ht="15">
      <c r="E86" s="154"/>
      <c r="F86" s="154"/>
      <c r="G86" s="154"/>
      <c r="H86" s="154"/>
    </row>
    <row r="87" spans="1:8" s="117" customFormat="1"/>
    <row r="88" spans="1:8" s="117" customFormat="1"/>
    <row r="89" spans="1:8" s="117" customFormat="1" ht="15">
      <c r="E89" s="190"/>
      <c r="F89" s="190"/>
      <c r="G89" s="154"/>
      <c r="H89" s="190"/>
    </row>
    <row r="90" spans="1:8" s="117" customFormat="1"/>
    <row r="91" spans="1:8" s="117" customFormat="1"/>
    <row r="92" spans="1:8" s="117" customFormat="1"/>
    <row r="93" spans="1:8" s="188" customFormat="1" ht="11.25">
      <c r="A93" s="194"/>
      <c r="E93" s="187"/>
      <c r="F93" s="187"/>
      <c r="G93" s="187"/>
      <c r="H93" s="187"/>
    </row>
    <row r="94" spans="1:8" s="188" customFormat="1" ht="11.25"/>
    <row r="95" spans="1:8" s="188" customFormat="1" ht="11.25"/>
    <row r="96" spans="1:8" s="188" customFormat="1" ht="11.25"/>
    <row r="97" spans="1:8" s="188" customFormat="1" ht="11.25">
      <c r="A97" s="194"/>
      <c r="B97" s="194"/>
      <c r="C97" s="194"/>
      <c r="D97" s="194"/>
    </row>
    <row r="98" spans="1:8" s="117" customFormat="1">
      <c r="A98" s="194"/>
      <c r="B98" s="194"/>
      <c r="C98" s="194"/>
      <c r="D98" s="194"/>
      <c r="E98" s="188"/>
      <c r="F98" s="188"/>
      <c r="G98" s="188"/>
      <c r="H98" s="188"/>
    </row>
    <row r="99" spans="1:8" s="117" customFormat="1"/>
    <row r="100" spans="1:8" s="117" customFormat="1"/>
    <row r="101" spans="1:8" s="117" customFormat="1"/>
    <row r="102" spans="1:8" s="117" customFormat="1"/>
    <row r="103" spans="1:8" s="117" customFormat="1"/>
    <row r="104" spans="1:8" s="117" customFormat="1"/>
    <row r="105" spans="1:8" s="117" customFormat="1"/>
    <row r="106" spans="1:8" s="117" customFormat="1"/>
    <row r="107" spans="1:8" s="117" customFormat="1"/>
    <row r="108" spans="1:8" s="117" customFormat="1"/>
    <row r="109" spans="1:8" s="117" customFormat="1"/>
    <row r="110" spans="1:8" s="117" customFormat="1"/>
    <row r="111" spans="1:8" s="117" customFormat="1"/>
    <row r="112" spans="1:8" s="117" customFormat="1"/>
    <row r="113" s="117" customFormat="1"/>
    <row r="114" s="117" customFormat="1"/>
    <row r="115" s="117" customFormat="1"/>
    <row r="116" s="117" customFormat="1"/>
    <row r="117" s="117" customFormat="1"/>
    <row r="118" s="117" customFormat="1"/>
    <row r="119" s="117" customFormat="1"/>
    <row r="120" s="117" customFormat="1"/>
    <row r="121" s="117" customFormat="1"/>
    <row r="122" s="117" customFormat="1"/>
    <row r="123" s="117" customFormat="1"/>
    <row r="124" s="117" customFormat="1"/>
    <row r="125" s="117" customFormat="1"/>
    <row r="126" s="117" customFormat="1"/>
    <row r="127" s="117" customFormat="1"/>
    <row r="128" s="117" customFormat="1"/>
    <row r="129" s="117" customFormat="1"/>
    <row r="130" s="117" customFormat="1"/>
    <row r="131" s="117" customFormat="1"/>
    <row r="132" s="117" customFormat="1"/>
    <row r="133" s="117" customFormat="1"/>
    <row r="134" s="117" customFormat="1"/>
    <row r="135" s="117" customFormat="1"/>
    <row r="136" s="117" customFormat="1"/>
    <row r="137" s="117" customFormat="1"/>
    <row r="138" s="117" customFormat="1"/>
    <row r="139" s="117" customFormat="1"/>
    <row r="140" s="117" customFormat="1"/>
    <row r="141" s="117" customFormat="1"/>
    <row r="142" s="117" customFormat="1"/>
    <row r="143" s="117" customFormat="1"/>
    <row r="144" s="117" customFormat="1"/>
    <row r="145" s="117" customFormat="1"/>
    <row r="146" s="117" customFormat="1"/>
    <row r="147" s="117" customFormat="1"/>
    <row r="148" s="117" customFormat="1"/>
    <row r="149" s="117" customFormat="1"/>
    <row r="150" s="117" customFormat="1"/>
    <row r="151" s="117" customFormat="1"/>
    <row r="152" s="117" customFormat="1"/>
    <row r="153" s="117" customFormat="1"/>
    <row r="154" s="117" customFormat="1"/>
    <row r="155" s="117" customFormat="1"/>
    <row r="156" s="117" customFormat="1"/>
    <row r="157" s="117" customFormat="1"/>
    <row r="158" s="117" customFormat="1"/>
    <row r="159" s="117" customFormat="1"/>
    <row r="160" s="117" customFormat="1"/>
    <row r="161" s="117" customFormat="1"/>
    <row r="162" s="117" customFormat="1"/>
    <row r="163" s="117" customFormat="1"/>
    <row r="164" s="117" customFormat="1"/>
    <row r="165" s="117" customFormat="1"/>
    <row r="166" s="117" customFormat="1"/>
    <row r="167" s="117" customFormat="1"/>
    <row r="168" s="117" customFormat="1"/>
    <row r="169" s="117" customFormat="1"/>
    <row r="170" s="117" customFormat="1"/>
    <row r="171" s="117" customFormat="1"/>
    <row r="172" s="117" customFormat="1"/>
    <row r="173" s="117" customFormat="1"/>
    <row r="174" s="117" customFormat="1"/>
    <row r="175" s="117" customFormat="1"/>
    <row r="176" s="117" customFormat="1"/>
    <row r="177" s="117" customFormat="1"/>
    <row r="178" s="117" customFormat="1"/>
    <row r="179" s="117" customFormat="1"/>
    <row r="180" s="117" customFormat="1"/>
    <row r="181" s="117" customFormat="1"/>
    <row r="182" s="117" customFormat="1"/>
    <row r="183" s="117" customFormat="1"/>
    <row r="184" s="117" customFormat="1"/>
    <row r="185" s="117" customFormat="1"/>
    <row r="186" s="117" customFormat="1"/>
    <row r="187" s="117" customFormat="1"/>
    <row r="188" s="117" customFormat="1"/>
    <row r="189" s="117" customFormat="1"/>
    <row r="190" s="117" customFormat="1"/>
    <row r="191" s="117" customFormat="1"/>
    <row r="192" s="117" customFormat="1"/>
    <row r="193" s="117" customFormat="1"/>
    <row r="194" s="117" customFormat="1"/>
    <row r="195" s="117" customFormat="1"/>
    <row r="196" s="117" customFormat="1"/>
    <row r="197" s="117" customFormat="1"/>
    <row r="198" s="117" customFormat="1"/>
    <row r="199" s="117" customFormat="1"/>
    <row r="200" s="117" customFormat="1"/>
    <row r="201" s="117" customFormat="1"/>
    <row r="202" s="117" customFormat="1"/>
    <row r="203" s="117" customFormat="1"/>
  </sheetData>
  <mergeCells count="4">
    <mergeCell ref="C5:F5"/>
    <mergeCell ref="C28:F28"/>
    <mergeCell ref="A1:K1"/>
    <mergeCell ref="A2:K2"/>
  </mergeCells>
  <pageMargins left="0.75" right="0.75" top="1" bottom="1" header="0.5" footer="0.5"/>
  <pageSetup scale="98" orientation="landscape" r:id="rId1"/>
  <headerFooter alignWithMargins="0">
    <oddFooter>&amp;L&amp;9&amp;D
&amp;F
&amp;A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Table of Contents</vt:lpstr>
      <vt:lpstr>Undergrad Income</vt:lpstr>
      <vt:lpstr>Ugrad IU</vt:lpstr>
      <vt:lpstr>Ugrad Enrollment</vt:lpstr>
      <vt:lpstr>Ugrad Summer</vt:lpstr>
      <vt:lpstr>Ugrad Winter</vt:lpstr>
      <vt:lpstr>Ugrad Differential</vt:lpstr>
      <vt:lpstr>Ugrad Int'l Diff</vt:lpstr>
      <vt:lpstr>Grad Fall_Spring</vt:lpstr>
      <vt:lpstr>Grad Summer</vt:lpstr>
      <vt:lpstr>FY09 Grad</vt:lpstr>
      <vt:lpstr>Prof &amp; SS UPDATE</vt:lpstr>
      <vt:lpstr>Other Income</vt:lpstr>
      <vt:lpstr>Total Tuition </vt:lpstr>
      <vt:lpstr>Tuition Increment</vt:lpstr>
      <vt:lpstr>'FY09 Grad'!Print_Area</vt:lpstr>
      <vt:lpstr>'Grad Fall_Spring'!Print_Area</vt:lpstr>
      <vt:lpstr>'Grad Summer'!Print_Area</vt:lpstr>
      <vt:lpstr>'Other Income'!Print_Area</vt:lpstr>
      <vt:lpstr>'Prof &amp; SS UPDATE'!Print_Area</vt:lpstr>
      <vt:lpstr>'Tuition Increment'!Print_Area</vt:lpstr>
      <vt:lpstr>'Ugrad Differential'!Print_Area</vt:lpstr>
      <vt:lpstr>'Ugrad Enrollment'!Print_Area</vt:lpstr>
      <vt:lpstr>'Ugrad IU'!Print_Area</vt:lpstr>
      <vt:lpstr>'Ugrad Summer'!Print_Area</vt:lpstr>
      <vt:lpstr>'Other Income'!Print_Titles</vt:lpstr>
      <vt:lpstr>'Prof &amp; SS UPDATE'!Print_Titles</vt:lpstr>
      <vt:lpstr>'Total Tuition '!Print_Titles</vt:lpstr>
      <vt:lpstr>'Tuition Increment'!Print_Titles</vt:lpstr>
      <vt:lpstr>'Ugrad Summer'!Print_Titles</vt:lpstr>
    </vt:vector>
  </TitlesOfParts>
  <Company>University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Distribution of Tuition Income - FY 19</dc:title>
  <dc:creator>OBFS Budgeting - University of Illinois</dc:creator>
  <cp:keywords>2019, tuition, income, distribution, budget, reform, budgeting, calculations, planning, urbana-champaign</cp:keywords>
  <cp:lastModifiedBy>Czarnota, Pawel</cp:lastModifiedBy>
  <cp:lastPrinted>2017-06-05T18:46:53Z</cp:lastPrinted>
  <dcterms:created xsi:type="dcterms:W3CDTF">2009-02-10T15:31:39Z</dcterms:created>
  <dcterms:modified xsi:type="dcterms:W3CDTF">2018-06-26T13:56:28Z</dcterms:modified>
</cp:coreProperties>
</file>